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2120" windowHeight="8220" tabRatio="684" activeTab="0"/>
  </bookViews>
  <sheets>
    <sheet name="Instructions" sheetId="1" r:id="rId1"/>
    <sheet name="Input-Output" sheetId="2" r:id="rId2"/>
    <sheet name="All Substances" sheetId="3" r:id="rId3"/>
    <sheet name="Calculations" sheetId="4" r:id="rId4"/>
    <sheet name="References" sheetId="5" r:id="rId5"/>
  </sheets>
  <definedNames>
    <definedName name="control">'Calculations'!$F$9:$F$17</definedName>
    <definedName name="dryer">'Calculations'!$C$9:$C$11</definedName>
    <definedName name="heat">'Calculations'!$D$9:$D$12</definedName>
    <definedName name="_xlnm.Print_Area" localSheetId="0">'Instructions'!$C$1:$D$35</definedName>
    <definedName name="rcontrol">'Calculations'!$J$9:$J$13</definedName>
    <definedName name="resin">'Calculations'!$H$9:$H$13</definedName>
    <definedName name="wood">'Calculations'!$E$9:$E$12</definedName>
  </definedNames>
  <calcPr fullCalcOnLoad="1"/>
</workbook>
</file>

<file path=xl/sharedStrings.xml><?xml version="1.0" encoding="utf-8"?>
<sst xmlns="http://schemas.openxmlformats.org/spreadsheetml/2006/main" count="2534" uniqueCount="341">
  <si>
    <t>Source</t>
  </si>
  <si>
    <t>Wood</t>
  </si>
  <si>
    <t>Control</t>
  </si>
  <si>
    <t>Contaminant</t>
  </si>
  <si>
    <t>Emission rate (kg/yr)</t>
  </si>
  <si>
    <t>Rotary, wood fired</t>
  </si>
  <si>
    <t>Softwood</t>
  </si>
  <si>
    <t>Uncontrolled</t>
  </si>
  <si>
    <t>PM</t>
  </si>
  <si>
    <t>n/a</t>
  </si>
  <si>
    <t>PM10</t>
  </si>
  <si>
    <t>Multiclone</t>
  </si>
  <si>
    <t>RTO</t>
  </si>
  <si>
    <t>WESP &amp; RTO</t>
  </si>
  <si>
    <t>Hardwood</t>
  </si>
  <si>
    <t>Mixed</t>
  </si>
  <si>
    <t>Wet scrubber</t>
  </si>
  <si>
    <t>Conveyor, indirect-heated</t>
  </si>
  <si>
    <t>Nitrogen Oxides</t>
  </si>
  <si>
    <t>Carbon Monoxide</t>
  </si>
  <si>
    <t>630-08-0</t>
  </si>
  <si>
    <t>Carbon Dioxide</t>
  </si>
  <si>
    <t>124-38-9</t>
  </si>
  <si>
    <t>Sulphur Dioxide</t>
  </si>
  <si>
    <t>7446-09-5</t>
  </si>
  <si>
    <t>11104-93-1</t>
  </si>
  <si>
    <t>Rotary, natural gas</t>
  </si>
  <si>
    <t>THC (as carbon)</t>
  </si>
  <si>
    <t>VOC (as propane)</t>
  </si>
  <si>
    <t>3-Carene</t>
  </si>
  <si>
    <t>13466-78-9</t>
  </si>
  <si>
    <t>Acetaldehyde</t>
  </si>
  <si>
    <t>75-07-0</t>
  </si>
  <si>
    <t>Acetone</t>
  </si>
  <si>
    <t>67-64-1</t>
  </si>
  <si>
    <t>Acrolein</t>
  </si>
  <si>
    <t>107-02-8</t>
  </si>
  <si>
    <t>Alpha-pinene</t>
  </si>
  <si>
    <t>80-56-8</t>
  </si>
  <si>
    <t>Benzene</t>
  </si>
  <si>
    <t>71-43-2</t>
  </si>
  <si>
    <t>Beta-pinene</t>
  </si>
  <si>
    <t>127-91-3</t>
  </si>
  <si>
    <t>Camphene</t>
  </si>
  <si>
    <t>79-92-5</t>
  </si>
  <si>
    <t>Cis-1,2-dichloroethylene</t>
  </si>
  <si>
    <t>156-59-2</t>
  </si>
  <si>
    <t>Cumene</t>
  </si>
  <si>
    <t>98-82-8</t>
  </si>
  <si>
    <t>Formaldehyde</t>
  </si>
  <si>
    <t>50-00-0</t>
  </si>
  <si>
    <t>Limonene</t>
  </si>
  <si>
    <t>138-86-3</t>
  </si>
  <si>
    <t>Methanol</t>
  </si>
  <si>
    <t>67-56-1</t>
  </si>
  <si>
    <t>Methyl ethyl ketone</t>
  </si>
  <si>
    <t>78-93-3</t>
  </si>
  <si>
    <t>Methyl isobutyl ketone</t>
  </si>
  <si>
    <t>108-10-1</t>
  </si>
  <si>
    <t>m,p-Xylene</t>
  </si>
  <si>
    <t>1330-20-7</t>
  </si>
  <si>
    <t>p-Cymene</t>
  </si>
  <si>
    <t>99-87-6</t>
  </si>
  <si>
    <t>p-Mentha-1,5-diene</t>
  </si>
  <si>
    <t>99-83-2</t>
  </si>
  <si>
    <t>Phenol</t>
  </si>
  <si>
    <t>108-95-2</t>
  </si>
  <si>
    <t>Propionaldehyde</t>
  </si>
  <si>
    <t>123-38-6</t>
  </si>
  <si>
    <t>Toluene</t>
  </si>
  <si>
    <t>108-88-3</t>
  </si>
  <si>
    <t>Styrene</t>
  </si>
  <si>
    <t>100-42-5</t>
  </si>
  <si>
    <t>Butylaldehyde</t>
  </si>
  <si>
    <t>123-72-8</t>
  </si>
  <si>
    <t>Crotonaldehyde</t>
  </si>
  <si>
    <t>4170-30-3</t>
  </si>
  <si>
    <t>Hot press, liquid PF resin</t>
  </si>
  <si>
    <t>Hot press, powder PF resin</t>
  </si>
  <si>
    <t>Hot press, MDI resin</t>
  </si>
  <si>
    <t>Hot press, PF/MDI resins</t>
  </si>
  <si>
    <t>64-56-1</t>
  </si>
  <si>
    <t>Biofilter</t>
  </si>
  <si>
    <t>MDI</t>
  </si>
  <si>
    <t>101-68-8</t>
  </si>
  <si>
    <t>RCO</t>
  </si>
  <si>
    <t>What type of wafer dryer is used?</t>
  </si>
  <si>
    <t>Dryer</t>
  </si>
  <si>
    <t>Rotary</t>
  </si>
  <si>
    <t>Conveyor</t>
  </si>
  <si>
    <t>Select</t>
  </si>
  <si>
    <r>
      <t>Emission factor (kg/m</t>
    </r>
    <r>
      <rPr>
        <b/>
        <vertAlign val="superscript"/>
        <sz val="12"/>
        <color indexed="8"/>
        <rFont val="Times New Roman"/>
        <family val="1"/>
      </rPr>
      <t>3</t>
    </r>
    <r>
      <rPr>
        <b/>
        <sz val="12"/>
        <color indexed="8"/>
        <rFont val="Times New Roman"/>
        <family val="1"/>
      </rPr>
      <t>)</t>
    </r>
  </si>
  <si>
    <t>How is the dryer heated?</t>
  </si>
  <si>
    <t>Heat</t>
  </si>
  <si>
    <t>Direct wood-fired</t>
  </si>
  <si>
    <t>Direct natural-gas fired</t>
  </si>
  <si>
    <t>Indirect heated</t>
  </si>
  <si>
    <t>What type of wafers are processed?</t>
  </si>
  <si>
    <t>None</t>
  </si>
  <si>
    <t>Electrified filter bed (EFB)</t>
  </si>
  <si>
    <t>Wet electrostatic precipitator (WESP)</t>
  </si>
  <si>
    <t>What type of emissions control is installed on the dryer exhaust(s)?</t>
  </si>
  <si>
    <t>kg/yr</t>
  </si>
  <si>
    <t>Dryer throughput:</t>
  </si>
  <si>
    <t>What type of resin is used?</t>
  </si>
  <si>
    <t>Resin</t>
  </si>
  <si>
    <t>Phenol formaldehyde (PF) liquid</t>
  </si>
  <si>
    <t>PF powder</t>
  </si>
  <si>
    <t>PF &amp; MDI</t>
  </si>
  <si>
    <t>Total quantity of wafer board pressed</t>
  </si>
  <si>
    <t>Rcontrol</t>
  </si>
  <si>
    <t>What type of emissions control is installed on the press exhaust(s)?</t>
  </si>
  <si>
    <t>PM (Total)</t>
  </si>
  <si>
    <t>THC</t>
  </si>
  <si>
    <t>CAS #</t>
  </si>
  <si>
    <t>Other Substances</t>
  </si>
  <si>
    <t>Total quantity of liquid PF resin used:</t>
  </si>
  <si>
    <t>L/yr</t>
  </si>
  <si>
    <r>
      <t>m</t>
    </r>
    <r>
      <rPr>
        <vertAlign val="superscript"/>
        <sz val="12"/>
        <color indexed="8"/>
        <rFont val="Times New Roman"/>
        <family val="1"/>
      </rPr>
      <t>3</t>
    </r>
    <r>
      <rPr>
        <sz val="12"/>
        <color indexed="8"/>
        <rFont val="Times New Roman"/>
        <family val="1"/>
      </rPr>
      <t>/yr</t>
    </r>
  </si>
  <si>
    <t>MDI (Methylene diphenyl diisocyanate)</t>
  </si>
  <si>
    <t>Quantity used (L/yr) X 50%</t>
  </si>
  <si>
    <t>=</t>
  </si>
  <si>
    <t>VOCs from powdered PF resin =</t>
  </si>
  <si>
    <t>Quantity used (kg/yr) X 50%</t>
  </si>
  <si>
    <t>VOCs from liquid PF resin* =</t>
  </si>
  <si>
    <t>*A review of resin MSDSs indicates that the average specific gravity of PF resin is 1 kg/L</t>
  </si>
  <si>
    <t>VOCs from MDI resin **=</t>
  </si>
  <si>
    <t>** A review of resin MSDSs indicates that the quantity of MDI monomer in resin should not exceed 50%</t>
  </si>
  <si>
    <t>Note (1) - unless otherwise indicated, the quantity of each contaminant used is assumed to be equal to the quantity of contaminant released as a by-product</t>
  </si>
  <si>
    <r>
      <t>Formaldehyde</t>
    </r>
    <r>
      <rPr>
        <vertAlign val="superscript"/>
        <sz val="12"/>
        <color indexed="8"/>
        <rFont val="Times New Roman"/>
        <family val="1"/>
      </rPr>
      <t>(2)</t>
    </r>
  </si>
  <si>
    <r>
      <t>Emission factor (lb/ODT)</t>
    </r>
    <r>
      <rPr>
        <b/>
        <vertAlign val="superscript"/>
        <sz val="12"/>
        <color indexed="8"/>
        <rFont val="Times New Roman"/>
        <family val="1"/>
      </rPr>
      <t>(1)</t>
    </r>
  </si>
  <si>
    <t>Note (1) - unless otherwise indicated, emission factors are taken from US EPA AP-42 (see references tab)</t>
  </si>
  <si>
    <r>
      <t>PM2.5</t>
    </r>
    <r>
      <rPr>
        <vertAlign val="superscript"/>
        <sz val="12"/>
        <color indexed="8"/>
        <rFont val="Times New Roman"/>
        <family val="1"/>
      </rPr>
      <t>(2)</t>
    </r>
  </si>
  <si>
    <r>
      <t>PM10</t>
    </r>
    <r>
      <rPr>
        <vertAlign val="superscript"/>
        <sz val="12"/>
        <color indexed="8"/>
        <rFont val="Times New Roman"/>
        <family val="1"/>
      </rPr>
      <t>(2)</t>
    </r>
  </si>
  <si>
    <t>Note (2) - where emission factors were not provided for PM10 and PM2.5, it was assumed that PM10 is 61% of the total PM emitted, and PM2.5 is 79% of the PM10 emitted, as per data from the California Environmental Protection Agency (see references tab)</t>
  </si>
  <si>
    <r>
      <t>Multiclone</t>
    </r>
    <r>
      <rPr>
        <vertAlign val="superscript"/>
        <sz val="12"/>
        <color indexed="8"/>
        <rFont val="Times New Roman"/>
        <family val="1"/>
      </rPr>
      <t>(3)</t>
    </r>
  </si>
  <si>
    <r>
      <t>Electrified filter bed</t>
    </r>
    <r>
      <rPr>
        <vertAlign val="superscript"/>
        <sz val="12"/>
        <color indexed="8"/>
        <rFont val="Times New Roman"/>
        <family val="1"/>
      </rPr>
      <t>(3)</t>
    </r>
  </si>
  <si>
    <r>
      <t>Wet electrostatic precipitator</t>
    </r>
    <r>
      <rPr>
        <vertAlign val="superscript"/>
        <sz val="12"/>
        <color indexed="8"/>
        <rFont val="Times New Roman"/>
        <family val="1"/>
      </rPr>
      <t>(3)</t>
    </r>
  </si>
  <si>
    <r>
      <t>Wet scrubber</t>
    </r>
    <r>
      <rPr>
        <vertAlign val="superscript"/>
        <sz val="12"/>
        <color indexed="8"/>
        <rFont val="Times New Roman"/>
        <family val="1"/>
      </rPr>
      <t>(3)</t>
    </r>
  </si>
  <si>
    <r>
      <t>EFB &amp; RTO</t>
    </r>
    <r>
      <rPr>
        <vertAlign val="superscript"/>
        <sz val="12"/>
        <color indexed="8"/>
        <rFont val="Times New Roman"/>
        <family val="1"/>
      </rPr>
      <t>(4)</t>
    </r>
  </si>
  <si>
    <r>
      <t>WESP &amp; RTO</t>
    </r>
    <r>
      <rPr>
        <vertAlign val="superscript"/>
        <sz val="12"/>
        <color indexed="8"/>
        <rFont val="Times New Roman"/>
        <family val="1"/>
      </rPr>
      <t>(4)</t>
    </r>
  </si>
  <si>
    <r>
      <t>Total VOCs</t>
    </r>
    <r>
      <rPr>
        <vertAlign val="superscript"/>
        <sz val="12"/>
        <color indexed="8"/>
        <rFont val="Times New Roman"/>
        <family val="1"/>
      </rPr>
      <t>(5)</t>
    </r>
  </si>
  <si>
    <t>Note (5) - where emission factors were not provided for Total VOCs, it was assumed that the emission factor would be equal to the sum of all emission factors for volatile compounds (i.e., formaldehyde) for the appropriate source and wood combination</t>
  </si>
  <si>
    <t>Note (4) - emission factors for contaminants from the WESP/RTO or EFB/RTO control combinations, other than PM (total, PM10, and PM2.5), are assumed to be the same as the emission factors for the RTO only for the appropriate source and wood combination, since the addition of a WESP or EFB is not expected to reduce non-PM emissions. This is as per US EPA AP-42 section 9.10.1.2.</t>
  </si>
  <si>
    <t>INPUT</t>
  </si>
  <si>
    <t>Please complete the INPUT table below:</t>
  </si>
  <si>
    <t>n/a - not applicable</t>
  </si>
  <si>
    <t>board feet</t>
  </si>
  <si>
    <t>L</t>
  </si>
  <si>
    <t>gallons (US)</t>
  </si>
  <si>
    <t>pounds</t>
  </si>
  <si>
    <t>kg</t>
  </si>
  <si>
    <t>tons (US)</t>
  </si>
  <si>
    <t>tons (UK)</t>
  </si>
  <si>
    <t>tonnes (metric)</t>
  </si>
  <si>
    <t>Summary of Calculations</t>
  </si>
  <si>
    <t>Sample Calculations</t>
  </si>
  <si>
    <t>Particulate (total PM) emissions =</t>
  </si>
  <si>
    <t>If 10,000 kg of softwood wafers are dried in an uncontrolled rotary wood-fired dryer:</t>
  </si>
  <si>
    <t>10,000 kg/yr X 0.001102 ton/kg X 4.1 lb/ODT X 0.4536 kg/lb</t>
  </si>
  <si>
    <t>ODT - oven dried ton (short, or US ton)</t>
  </si>
  <si>
    <r>
      <t>Quantity pressed (m</t>
    </r>
    <r>
      <rPr>
        <vertAlign val="superscript"/>
        <sz val="12"/>
        <color indexed="8"/>
        <rFont val="Times New Roman"/>
        <family val="1"/>
      </rPr>
      <t>3</t>
    </r>
    <r>
      <rPr>
        <sz val="12"/>
        <color indexed="8"/>
        <rFont val="Times New Roman"/>
        <family val="1"/>
      </rPr>
      <t>/yr) X Emission Factor (kg/m</t>
    </r>
    <r>
      <rPr>
        <vertAlign val="superscript"/>
        <sz val="12"/>
        <color indexed="8"/>
        <rFont val="Times New Roman"/>
        <family val="1"/>
      </rPr>
      <t>3</t>
    </r>
    <r>
      <rPr>
        <sz val="12"/>
        <color indexed="8"/>
        <rFont val="Times New Roman"/>
        <family val="1"/>
      </rPr>
      <t>)</t>
    </r>
  </si>
  <si>
    <r>
      <t>If 10,000 m</t>
    </r>
    <r>
      <rPr>
        <vertAlign val="superscript"/>
        <sz val="12"/>
        <color indexed="8"/>
        <rFont val="Times New Roman"/>
        <family val="1"/>
      </rPr>
      <t>3</t>
    </r>
    <r>
      <rPr>
        <sz val="12"/>
        <color indexed="8"/>
        <rFont val="Times New Roman"/>
        <family val="1"/>
      </rPr>
      <t xml:space="preserve"> of waferboard is pressed in an uncontrolled hot press using liquid PF resin:</t>
    </r>
  </si>
  <si>
    <r>
      <t>10000 m</t>
    </r>
    <r>
      <rPr>
        <vertAlign val="superscript"/>
        <sz val="12"/>
        <color indexed="8"/>
        <rFont val="Times New Roman"/>
        <family val="1"/>
      </rPr>
      <t>3</t>
    </r>
    <r>
      <rPr>
        <sz val="12"/>
        <color indexed="8"/>
        <rFont val="Times New Roman"/>
        <family val="1"/>
      </rPr>
      <t>/yr X 0.06 kg/m</t>
    </r>
    <r>
      <rPr>
        <vertAlign val="superscript"/>
        <sz val="12"/>
        <color indexed="8"/>
        <rFont val="Times New Roman"/>
        <family val="1"/>
      </rPr>
      <t>3</t>
    </r>
  </si>
  <si>
    <t>Note (3) - the total quantity of VOCs used is equal to the total quantity of VOCs present in resins, plus the total quantity of VOCs released by the wafer dryers</t>
  </si>
  <si>
    <t>Regenerative Thermal Oxidizer (RTO)</t>
  </si>
  <si>
    <t>Quantity dried (kg/yr) X 0.001102 ton/kg X Emission Factor (lb/ODT) X 0.4536 kg/lb</t>
  </si>
  <si>
    <t>Note (2) - a review of resin MSDSs indicates that the quantity of formaldehyde monomer in phenol formaldehyde (PF) resins is less than 1%. As a result, the quantity of formaldehyde in resins was not considered in the quantity used.</t>
  </si>
  <si>
    <t>Calculations</t>
  </si>
  <si>
    <r>
      <t>cubic feet (ft</t>
    </r>
    <r>
      <rPr>
        <vertAlign val="superscript"/>
        <sz val="12"/>
        <color indexed="8"/>
        <rFont val="Times New Roman"/>
        <family val="1"/>
      </rPr>
      <t>3</t>
    </r>
    <r>
      <rPr>
        <sz val="12"/>
        <color indexed="8"/>
        <rFont val="Times New Roman"/>
        <family val="1"/>
      </rPr>
      <t>)</t>
    </r>
  </si>
  <si>
    <r>
      <t>m</t>
    </r>
    <r>
      <rPr>
        <vertAlign val="superscript"/>
        <sz val="12"/>
        <color indexed="8"/>
        <rFont val="Times New Roman"/>
        <family val="1"/>
      </rPr>
      <t>3</t>
    </r>
  </si>
  <si>
    <t>References</t>
  </si>
  <si>
    <t>Assumptions made pertaining to controlled emission factors for non-PM contaminants are based on similar assumptions made in the US EPA AP-42 "Sugarbeet Processing", Section 9.10.1.2, 1997</t>
  </si>
  <si>
    <t>http://www.epa.gov/ttn/chief/ap42/ch09/final/c9s10-1b.pdf</t>
  </si>
  <si>
    <t xml:space="preserve">Conversion factors for PM10 and PM2.5 are estimated using data from the California Environmental Protection Agency  </t>
  </si>
  <si>
    <t>http://www.arb.ca.gov/app/emsinv/emseic_query.php?F_YR=2008&amp;F_DIV=-4&amp;F_SEASON=A&amp;SP=2009&amp;SPN=2009_Almanac&amp;F_AREA=CA&amp;F_EICSUM=450</t>
  </si>
  <si>
    <t xml:space="preserve">Emission factors and an assessment of their data quality are provided in and the US EPA AP-42 "Waferboard/Oriented Strandboard Manufacturing", Section 10.6.1, 2002 </t>
  </si>
  <si>
    <t>http://www.epa.gov/ttn/chief/ap42/ch10/final/c10s06-1.pdf</t>
  </si>
  <si>
    <t xml:space="preserve">An assessment of resin compositions is based on information provided by APA The Engineered Wood Association </t>
  </si>
  <si>
    <t>http://www.bc.com/dms/wood/plywood/msds/Formadehyde-APAdocument2002.pdf</t>
  </si>
  <si>
    <t xml:space="preserve">BASF </t>
  </si>
  <si>
    <t>http://www2.basf.us/urethanechemicals/kun_chemicals_mdi_prod_data_shee.html</t>
  </si>
  <si>
    <t xml:space="preserve">Chimplast </t>
  </si>
  <si>
    <t>http://www.ucp.ru/en/customers/products/himprir/fenolsmola/</t>
  </si>
  <si>
    <r>
      <t>Electrified filter bed</t>
    </r>
    <r>
      <rPr>
        <vertAlign val="superscript"/>
        <sz val="12"/>
        <color indexed="8"/>
        <rFont val="Times New Roman"/>
        <family val="1"/>
      </rPr>
      <t>(3)</t>
    </r>
  </si>
  <si>
    <t>Data quality</t>
  </si>
  <si>
    <t>C</t>
  </si>
  <si>
    <t>D</t>
  </si>
  <si>
    <t>E</t>
  </si>
  <si>
    <t>B</t>
  </si>
  <si>
    <t>EFB &amp; RTO</t>
  </si>
  <si>
    <r>
      <t>PM</t>
    </r>
    <r>
      <rPr>
        <vertAlign val="superscript"/>
        <sz val="12"/>
        <color indexed="8"/>
        <rFont val="Times New Roman"/>
        <family val="1"/>
      </rPr>
      <t>(6)</t>
    </r>
  </si>
  <si>
    <r>
      <t>WESP &amp; RTO</t>
    </r>
    <r>
      <rPr>
        <vertAlign val="superscript"/>
        <sz val="12"/>
        <color indexed="8"/>
        <rFont val="Times New Roman"/>
        <family val="1"/>
      </rPr>
      <t>(4)</t>
    </r>
  </si>
  <si>
    <r>
      <t>EFB &amp; RTO</t>
    </r>
    <r>
      <rPr>
        <vertAlign val="superscript"/>
        <sz val="12"/>
        <color indexed="8"/>
        <rFont val="Times New Roman"/>
        <family val="1"/>
      </rPr>
      <t>(4)</t>
    </r>
  </si>
  <si>
    <t>Wet Scrubber</t>
  </si>
  <si>
    <r>
      <t>PM</t>
    </r>
    <r>
      <rPr>
        <vertAlign val="superscript"/>
        <sz val="12"/>
        <color indexed="8"/>
        <rFont val="Times New Roman"/>
        <family val="1"/>
      </rPr>
      <t>(7)</t>
    </r>
  </si>
  <si>
    <r>
      <t>RTO</t>
    </r>
    <r>
      <rPr>
        <vertAlign val="superscript"/>
        <sz val="12"/>
        <color indexed="8"/>
        <rFont val="Times New Roman"/>
        <family val="1"/>
      </rPr>
      <t>(8)</t>
    </r>
  </si>
  <si>
    <t>Note (8) - emission factors for mixed wafers in a rotary wood-fired dryer were not provided in the US EPA AP42 document. They were estimated using the average RTO control efficiency for VOCs, nitrogen oxides, carbon monoxide and carbon dioxide in rotary wood-fired dryers processing softwood or hardwood wafers.</t>
  </si>
  <si>
    <r>
      <t>PM</t>
    </r>
    <r>
      <rPr>
        <vertAlign val="superscript"/>
        <sz val="12"/>
        <color indexed="8"/>
        <rFont val="Times New Roman"/>
        <family val="1"/>
      </rPr>
      <t>(9)</t>
    </r>
  </si>
  <si>
    <r>
      <t>PM</t>
    </r>
    <r>
      <rPr>
        <vertAlign val="superscript"/>
        <sz val="12"/>
        <color indexed="8"/>
        <rFont val="Times New Roman"/>
        <family val="1"/>
      </rPr>
      <t>(10)</t>
    </r>
  </si>
  <si>
    <t>Note (10) - PM emission factors for mixed wafers in a rotary wood-fired dryer equipped with an electrified filter bed and RTO were not provided in the US EPA AP42 document. They were estimated using the average PM control efficiency for in rotary wood-fired dryers equipped with similar control combinations and processing softwood or hardwood wafers.</t>
  </si>
  <si>
    <r>
      <t>Uncontrolled</t>
    </r>
    <r>
      <rPr>
        <vertAlign val="superscript"/>
        <sz val="12"/>
        <color indexed="8"/>
        <rFont val="Times New Roman"/>
        <family val="1"/>
      </rPr>
      <t>(11)</t>
    </r>
  </si>
  <si>
    <t>Note (11) - emission factors for softwood processed in a conveyor dryer were not provided in the US EPA AP42 document. They were estimated based on the assumption that the ratio between emissions in a conveyor dryer processing hardwood or softwood would be the same as the ratio between a rotary wood-fired dryer processing hardwood or softwood</t>
  </si>
  <si>
    <r>
      <t>Multiclone</t>
    </r>
    <r>
      <rPr>
        <vertAlign val="superscript"/>
        <sz val="12"/>
        <color indexed="8"/>
        <rFont val="Times New Roman"/>
        <family val="1"/>
      </rPr>
      <t>(3)</t>
    </r>
  </si>
  <si>
    <r>
      <t>PM</t>
    </r>
    <r>
      <rPr>
        <vertAlign val="superscript"/>
        <sz val="12"/>
        <color indexed="8"/>
        <rFont val="Times New Roman"/>
        <family val="1"/>
      </rPr>
      <t>(12)</t>
    </r>
  </si>
  <si>
    <t>Note (12) - Based on the PM emission factors for hardwood wafers in a rotary wood-fired dryer, the PM emissions of a multiclone filter is estimated to be 91.5% of uncontrolled PM emissions</t>
  </si>
  <si>
    <t>Note (7) - a PM emission factor for a wet scrubber installed on a rotary wood-fired dryer processing hardwood or softwood wafers is not provided in the US EPA AP42 document. The emission factor for the same control on a wood-fired rotary dryer processing mixed wafers indicates that the PM control efficiency of a wet scrubber, compared to the uncontrolled emission factor is 77.6%. It is assumed that the control efficiency would be the same for hardwood or softwood wafers only, and the PM emissions were calculated accordingly</t>
  </si>
  <si>
    <t>Note (6) - a PM emission factor for a EFB/RTO control combination installed on a dryer processing hardwood wafers is not provided in the US EPA AP42 document. The emission factor for the same controls on a wood-fired rotary dryer processing softwood wafers, indicate that the PM control efficiency for this combination, compared to the uncontrolled PM emission factor, is 91.64%. It is assumed that the control efficiency would be the same for softwood wafers and the PM emissions were calculated accordingly.</t>
  </si>
  <si>
    <r>
      <t>Electrified filter bed</t>
    </r>
    <r>
      <rPr>
        <vertAlign val="superscript"/>
        <sz val="12"/>
        <color indexed="8"/>
        <rFont val="Times New Roman"/>
        <family val="1"/>
      </rPr>
      <t>(3)</t>
    </r>
  </si>
  <si>
    <r>
      <t>PM</t>
    </r>
    <r>
      <rPr>
        <vertAlign val="superscript"/>
        <sz val="12"/>
        <color indexed="8"/>
        <rFont val="Times New Roman"/>
        <family val="1"/>
      </rPr>
      <t>(13)</t>
    </r>
  </si>
  <si>
    <t>Note (13) - Based on the PM emission factors for hardwood wafers in a rotary wood-fired dryer, the PM emissions of a electrified filter bed is estimated to be 22.6% of uncontrolled PM emissions</t>
  </si>
  <si>
    <r>
      <t>Wet electrostatic precipitator</t>
    </r>
    <r>
      <rPr>
        <vertAlign val="superscript"/>
        <sz val="12"/>
        <color indexed="8"/>
        <rFont val="Times New Roman"/>
        <family val="1"/>
      </rPr>
      <t>(3)</t>
    </r>
  </si>
  <si>
    <r>
      <t>PM</t>
    </r>
    <r>
      <rPr>
        <vertAlign val="superscript"/>
        <sz val="12"/>
        <color indexed="8"/>
        <rFont val="Times New Roman"/>
        <family val="1"/>
      </rPr>
      <t>(14)</t>
    </r>
  </si>
  <si>
    <t>Note (14) - Based on the PM emission factors for hardwood wafers in a rotary wood-fired dryer, the PM emissions of a wet electrostatic precipitator is estimated to be 10.3% of uncontrolled PM emissions</t>
  </si>
  <si>
    <r>
      <t>RTO</t>
    </r>
    <r>
      <rPr>
        <vertAlign val="superscript"/>
        <sz val="12"/>
        <color indexed="8"/>
        <rFont val="Times New Roman"/>
        <family val="1"/>
      </rPr>
      <t>(15)</t>
    </r>
  </si>
  <si>
    <t>Note (15) - RTO control efficiency for formaldehyde, THC, and VOCs was estimated based on the control efficiency for the same contaminants provided for hardwood wafers processed in a wood-fired rotary dryer</t>
  </si>
  <si>
    <r>
      <t>PM</t>
    </r>
    <r>
      <rPr>
        <vertAlign val="superscript"/>
        <sz val="12"/>
        <color indexed="8"/>
        <rFont val="Times New Roman"/>
        <family val="1"/>
      </rPr>
      <t>(16)</t>
    </r>
  </si>
  <si>
    <r>
      <t>EFB &amp; RTO</t>
    </r>
    <r>
      <rPr>
        <vertAlign val="superscript"/>
        <sz val="12"/>
        <color indexed="8"/>
        <rFont val="Times New Roman"/>
        <family val="1"/>
      </rPr>
      <t>(15)</t>
    </r>
  </si>
  <si>
    <r>
      <t>WESP &amp; RTO</t>
    </r>
    <r>
      <rPr>
        <vertAlign val="superscript"/>
        <sz val="12"/>
        <color indexed="8"/>
        <rFont val="Times New Roman"/>
        <family val="1"/>
      </rPr>
      <t>(15)</t>
    </r>
  </si>
  <si>
    <r>
      <t>PM</t>
    </r>
    <r>
      <rPr>
        <vertAlign val="superscript"/>
        <sz val="12"/>
        <color indexed="8"/>
        <rFont val="Times New Roman"/>
        <family val="1"/>
      </rPr>
      <t>(17)</t>
    </r>
  </si>
  <si>
    <t>Note (16) - Based on the PM emission factors for hardwood wafers in a rotary wood-fired dryer, the PM emissions of an electrified filter bed and RTO is estimated to be 8.36% of uncontrolled PM emissions</t>
  </si>
  <si>
    <r>
      <t>Wet scrubber</t>
    </r>
    <r>
      <rPr>
        <vertAlign val="superscript"/>
        <sz val="12"/>
        <color indexed="8"/>
        <rFont val="Times New Roman"/>
        <family val="1"/>
      </rPr>
      <t>(3)</t>
    </r>
  </si>
  <si>
    <r>
      <t>PM</t>
    </r>
    <r>
      <rPr>
        <vertAlign val="superscript"/>
        <sz val="12"/>
        <color indexed="8"/>
        <rFont val="Times New Roman"/>
        <family val="1"/>
      </rPr>
      <t>(18)</t>
    </r>
  </si>
  <si>
    <t>Note (18) - Based on the PM emission factors for hardwood wafers in a rotary wood-fired dryer, the PM emissions of a wet scrubber is estimated to be 22.4% of uncontrolled PM emissions</t>
  </si>
  <si>
    <r>
      <t>PM</t>
    </r>
    <r>
      <rPr>
        <vertAlign val="superscript"/>
        <sz val="12"/>
        <color indexed="8"/>
        <rFont val="Times New Roman"/>
        <family val="1"/>
      </rPr>
      <t>(19)</t>
    </r>
  </si>
  <si>
    <t>Note (19) - Based on the PM emission factors for softwood wafers in a rotary wood-fired dryer, the PM emissions of a multiclone filter is estimated to be 50.2% of uncontrolled PM emissions</t>
  </si>
  <si>
    <r>
      <t>PM</t>
    </r>
    <r>
      <rPr>
        <vertAlign val="superscript"/>
        <sz val="12"/>
        <color indexed="8"/>
        <rFont val="Times New Roman"/>
        <family val="1"/>
      </rPr>
      <t>(20)</t>
    </r>
  </si>
  <si>
    <t>Note (20) - Based on the PM emission factors for softwood wafers in a rotary wood-fired dryer, the PM emissions of a electrified filter bed is estimated to be 18.6% of uncontrolled PM emissions</t>
  </si>
  <si>
    <r>
      <t>PM</t>
    </r>
    <r>
      <rPr>
        <vertAlign val="superscript"/>
        <sz val="12"/>
        <color indexed="8"/>
        <rFont val="Times New Roman"/>
        <family val="1"/>
      </rPr>
      <t>(21)</t>
    </r>
  </si>
  <si>
    <t>Note (21) - Based on the PM emission factors for softwood wafers in a rotary wood-fired dryer, the PM emissions of a wet electrostatic precipitator is estimated to be 15.9% of uncontrolled PM emissions</t>
  </si>
  <si>
    <r>
      <t>RTO</t>
    </r>
    <r>
      <rPr>
        <vertAlign val="superscript"/>
        <sz val="12"/>
        <color indexed="8"/>
        <rFont val="Times New Roman"/>
        <family val="1"/>
      </rPr>
      <t>(22)</t>
    </r>
  </si>
  <si>
    <r>
      <t>PM</t>
    </r>
    <r>
      <rPr>
        <vertAlign val="superscript"/>
        <sz val="12"/>
        <color indexed="8"/>
        <rFont val="Times New Roman"/>
        <family val="1"/>
      </rPr>
      <t>(23)</t>
    </r>
  </si>
  <si>
    <t>Note (22) - RTO control efficiency for formaldehyde, THC, and VOCs was estimated based on the control efficiency for the same contaminants provided for softwood wafers processed in a wood-fired rotary dryer</t>
  </si>
  <si>
    <t>Note (23) - Based on the PM emission factors for softwood wafers in a rotary wood-fired dryer, the PM emissions of an RTO is estimated to be 7.1% of uncontrolled PM emissions</t>
  </si>
  <si>
    <r>
      <t>EFB &amp; RTO</t>
    </r>
    <r>
      <rPr>
        <vertAlign val="superscript"/>
        <sz val="12"/>
        <color indexed="8"/>
        <rFont val="Times New Roman"/>
        <family val="1"/>
      </rPr>
      <t>(22)</t>
    </r>
  </si>
  <si>
    <r>
      <t>PM</t>
    </r>
    <r>
      <rPr>
        <vertAlign val="superscript"/>
        <sz val="12"/>
        <color indexed="8"/>
        <rFont val="Times New Roman"/>
        <family val="1"/>
      </rPr>
      <t>(24)</t>
    </r>
  </si>
  <si>
    <r>
      <t>WESP &amp; RTO</t>
    </r>
    <r>
      <rPr>
        <vertAlign val="superscript"/>
        <sz val="12"/>
        <color indexed="8"/>
        <rFont val="Times New Roman"/>
        <family val="1"/>
      </rPr>
      <t>(22)</t>
    </r>
  </si>
  <si>
    <r>
      <t>PM</t>
    </r>
    <r>
      <rPr>
        <vertAlign val="superscript"/>
        <sz val="12"/>
        <color indexed="8"/>
        <rFont val="Times New Roman"/>
        <family val="1"/>
      </rPr>
      <t>(25)</t>
    </r>
  </si>
  <si>
    <r>
      <t>PM</t>
    </r>
    <r>
      <rPr>
        <vertAlign val="superscript"/>
        <sz val="12"/>
        <color indexed="8"/>
        <rFont val="Times New Roman"/>
        <family val="1"/>
      </rPr>
      <t>(26)</t>
    </r>
  </si>
  <si>
    <t>Note (24) - Based on the PM emission factors for softwood wafers in a rotary wood-fired dryer, the PM emissions of an electrified filter bed and RTO is estimated to be 8.39% of uncontrolled PM emissions</t>
  </si>
  <si>
    <t>Note (25) - Based on the PM emission factors for softwood wafers in a rotary wood-fired dryer, the PM emissions of a wet scrubber is estimated to be 22.5% of uncontrolled PM emissions</t>
  </si>
  <si>
    <t>Note (3) - emission factors for contaminants other than PM (total, PM10, and PM2.5) are assumed to be the same as the uncontrolled emission factors for the appropriate source and wafer combination, since the identified control technologies are not expected to reduce non-PM emissions. This is as per US EPA AP-42, section 9.10.1.2.</t>
  </si>
  <si>
    <r>
      <t>Uncontrolled/Multiclone/Electrified filter bed/Wet electrostatic precipitator/Wet scrubber</t>
    </r>
    <r>
      <rPr>
        <vertAlign val="superscript"/>
        <sz val="12"/>
        <color indexed="8"/>
        <rFont val="Times New Roman"/>
        <family val="1"/>
      </rPr>
      <t>(3)</t>
    </r>
  </si>
  <si>
    <r>
      <t>RTO/EFB &amp; RTO/WESP &amp; RTO</t>
    </r>
    <r>
      <rPr>
        <vertAlign val="superscript"/>
        <sz val="12"/>
        <color indexed="8"/>
        <rFont val="Times New Roman"/>
        <family val="1"/>
      </rPr>
      <t>(26)</t>
    </r>
  </si>
  <si>
    <r>
      <t>Softwood</t>
    </r>
    <r>
      <rPr>
        <vertAlign val="superscript"/>
        <sz val="12"/>
        <color indexed="8"/>
        <rFont val="Times New Roman"/>
        <family val="1"/>
      </rPr>
      <t>(27)</t>
    </r>
  </si>
  <si>
    <t>Note (27) - emission factors for softwood wafers in a rotary natural gas-fired dryer were not provided in the US EPA AP42 document. It was assumed that the ratio between hardwood and softwood emissions from a wood-fired rotary dryer would be the same as the ratio between hardwood and softwood emissions from a natural gas-fired rotary dryer, and softwood emissions were calculated accordingly.</t>
  </si>
  <si>
    <t>Note (28) - emission factors for mixed wafers were not provided. Since the US EPA AP42 document indicates that mixed wafers are approximately equal parts hardwood and softwood, the emission factors were estimated as the average of the hardwood and softwood emission factors</t>
  </si>
  <si>
    <r>
      <t>Mixed</t>
    </r>
    <r>
      <rPr>
        <vertAlign val="superscript"/>
        <sz val="12"/>
        <color indexed="8"/>
        <rFont val="Times New Roman"/>
        <family val="1"/>
      </rPr>
      <t>(28)</t>
    </r>
  </si>
  <si>
    <r>
      <t>PM</t>
    </r>
    <r>
      <rPr>
        <vertAlign val="superscript"/>
        <sz val="12"/>
        <color indexed="8"/>
        <rFont val="Times New Roman"/>
        <family val="1"/>
      </rPr>
      <t>(29)</t>
    </r>
  </si>
  <si>
    <r>
      <t>Wet scrubber</t>
    </r>
    <r>
      <rPr>
        <vertAlign val="superscript"/>
        <sz val="12"/>
        <color indexed="8"/>
        <rFont val="Times New Roman"/>
        <family val="1"/>
      </rPr>
      <t>(5)</t>
    </r>
  </si>
  <si>
    <t>Data Quality</t>
  </si>
  <si>
    <r>
      <t>RTO</t>
    </r>
    <r>
      <rPr>
        <vertAlign val="superscript"/>
        <sz val="12"/>
        <color indexed="8"/>
        <rFont val="Times New Roman"/>
        <family val="1"/>
      </rPr>
      <t>(30)</t>
    </r>
  </si>
  <si>
    <r>
      <t>Biofilter</t>
    </r>
    <r>
      <rPr>
        <vertAlign val="superscript"/>
        <sz val="12"/>
        <color indexed="8"/>
        <rFont val="Times New Roman"/>
        <family val="1"/>
      </rPr>
      <t>(31)</t>
    </r>
  </si>
  <si>
    <t>Total VOCs</t>
  </si>
  <si>
    <t>Note (30) - since emission factors for a hot press with an RTO processing wafers with powder PF resin were not provided in the US EPA AP42 document, it was assumed that the ratio between the uncontrolled emissions for that source and emissions from the RTO would be the same as the ratio between the uncontrolled emissions from a hot press processing wafers with liquid PF resin and from the same source equipped with an RTO, and the emission factors were calculated accordingly.</t>
  </si>
  <si>
    <t>Note (31) - since emission factors for a hot press with a biofilter processing wafers with powder PF resin were not provided in the US EPA AP42 document, it was assumed that the ratio between the uncontrolled emissions for that source and emissions from the biofilter would be the same as the ratio between the uncontrolled emissions from a hot press processing wafers with liquid PF resin and from the same source equipped with a biofilter, and the emission factors were calculated accordingly.</t>
  </si>
  <si>
    <r>
      <t>RTO</t>
    </r>
    <r>
      <rPr>
        <vertAlign val="superscript"/>
        <sz val="12"/>
        <color indexed="8"/>
        <rFont val="Times New Roman"/>
        <family val="1"/>
      </rPr>
      <t>(32)</t>
    </r>
  </si>
  <si>
    <r>
      <t>Biofilter</t>
    </r>
    <r>
      <rPr>
        <vertAlign val="superscript"/>
        <sz val="12"/>
        <color indexed="8"/>
        <rFont val="Times New Roman"/>
        <family val="1"/>
      </rPr>
      <t>(33)</t>
    </r>
  </si>
  <si>
    <t>Note (32) - since emission factors for a hot press with an RTO processing wafers with powder MDI resin were not provided in the US EPA AP42 document, it was assumed that the ratio between the uncontrolled emissions for that source and emissions from the RTO would be the same as the ratio between the uncontrolled emissions from a hot press processing wafers with liquid PF resin and from the same source equipped with an RTO, and the emission factors were calculated accordingly.</t>
  </si>
  <si>
    <t>Note (33) - since emission factors for a hot press with a biofilter processing wafers with powder MDI resin were not provided in the US EPA AP42 document, it was assumed that the ratio between the uncontrolled emissions for that source and emissions from the biofilter would be the same as the ratio between the uncontrolled emissions from a hot press processing wafers with liquid PF resin and from the same source equipped with a biofilter, and the emission factors were calculated accordingly.</t>
  </si>
  <si>
    <r>
      <t>Biofilter</t>
    </r>
    <r>
      <rPr>
        <vertAlign val="superscript"/>
        <sz val="12"/>
        <color indexed="8"/>
        <rFont val="Times New Roman"/>
        <family val="1"/>
      </rPr>
      <t>(34)</t>
    </r>
  </si>
  <si>
    <r>
      <t>RCO</t>
    </r>
    <r>
      <rPr>
        <vertAlign val="superscript"/>
        <sz val="12"/>
        <color indexed="8"/>
        <rFont val="Times New Roman"/>
        <family val="1"/>
      </rPr>
      <t>(35)</t>
    </r>
  </si>
  <si>
    <t>Note (34) - since emission factors for a hot press with a biofilter processing wafers with powder PF/MDI resin were not provided in the US EPA AP42 document, it was assumed that the ratio between the uncontrolled emissions for that source and emissions from the biofilter would be the same as the ratio between the uncontrolled emissions from a hot press processing wafers with liquid PF resin and from the same source equipped with a biofilter, and the emission factors were calculated accordingly.</t>
  </si>
  <si>
    <r>
      <t>RCO</t>
    </r>
    <r>
      <rPr>
        <vertAlign val="superscript"/>
        <sz val="12"/>
        <color indexed="8"/>
        <rFont val="Times New Roman"/>
        <family val="1"/>
      </rPr>
      <t>(36)</t>
    </r>
  </si>
  <si>
    <t>Note (35) - since emission factors for a hot press with an RCO processing wafers with liquid PF resin were not provided in the US EPA AP42 document, it was assumed that the ratio between the uncontrolled emissions for that source and emissions from the biofilter would be the same as the ratio between the uncontrolled emissions from a hot press processing wafer with PF/MDI resin and from the same source equipped with an RCO, and the emission factors were calculated accordingly</t>
  </si>
  <si>
    <t>Note (36) - since emission factors for a hot press with an RCO processing wafers with powder PF resin were not provided in the US EPA AP42 document, it was assumed that the ratio between the uncontrolled emissions for that source and emissions from the biofilter would be the same as the ratio between the uncontrolled emissions from a hot press processing wafer with PF/MDI resin and from the same source equipped with an RCO, and the emission factors were calculated accordingly</t>
  </si>
  <si>
    <r>
      <t>RCO</t>
    </r>
    <r>
      <rPr>
        <vertAlign val="superscript"/>
        <sz val="12"/>
        <color indexed="8"/>
        <rFont val="Times New Roman"/>
        <family val="1"/>
      </rPr>
      <t>(37)</t>
    </r>
  </si>
  <si>
    <t>Note (37) - since emission factors for a hot press with an RCO processing wafers with MDI resin were not provided in the US EPA AP42 document, it was assumed that the ratio between the uncontrolled emissions for that source and emissions from the biofilter would be the same as the ratio between the uncontrolled emissions from a hot press processing wafer with PF/MDI resin and from the same source equipped with an RCO, and the emission factors were calculated accordingly</t>
  </si>
  <si>
    <t>How to use this calculator:</t>
  </si>
  <si>
    <t>Output summary:</t>
  </si>
  <si>
    <t>Other processes:</t>
  </si>
  <si>
    <t>Before you start make sure you have:</t>
  </si>
  <si>
    <t>Wafer Board Manufacturing:</t>
  </si>
  <si>
    <t>- the type of wafer dryer used and its heating type (rotary or conveyor, heated directly or indirectly, using wood or natural gas)</t>
  </si>
  <si>
    <t>- the type of wafers processed in the dryer during the reporting year</t>
  </si>
  <si>
    <t>- the type of emissions control technology installed on the dryer and press</t>
  </si>
  <si>
    <t>- the quantity of wafers dried during the reporting year (in kilograms)</t>
  </si>
  <si>
    <t>- the type and quantity of resin used (in litres or kilograms) during the reporting year</t>
  </si>
  <si>
    <t>- the quantity of waferboard pressed during the reporting year (in cubic metres)</t>
  </si>
  <si>
    <t>Note (9) - PM emission factors for mixed wafers in a rotary wood-fired dryer equipped with a wet electrostatic precipitator and RTO were not provided in the US EPA AP42 document. They were estimated using the average PM control efficiency for in rotary wood-fired dryers equipped with similar control combinations and processing softwood or hardwood wafers.</t>
  </si>
  <si>
    <t>Note (17) - Based on the PM emission factors for hardwood wafers in a rotary wood-fired dryer, the PM emissions of a wet electrostatic precipitator and RTO is estimated to be 2.8% of uncontrolled PM emissions</t>
  </si>
  <si>
    <t>Note (26) - It is assumed that the  control efficiency of non-PM contaminants for rotary natural gas-fired dryers equipped with an RTO would be the same as the control efficiency provided in the RTO for rotary wood-fired dryers. The efficiency was calculated separately for each contaminant and each wafer type.</t>
  </si>
  <si>
    <t>Note (29) - no PM emission factor is given in the US EPA AP-42 document for hardwood wafers in a conveyor dryer equipped with an RTO. It was assumed that that PM emission factor for mixed wafers would be the same as the PM emission factor for softwood wafers in the same dryer with an RTO</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</si>
  <si>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</si>
  <si>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</si>
  <si>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t xml:space="preserve">Unit Conversion Table </t>
  </si>
  <si>
    <t>This page provides all the reference information for the emission factors and assumptions used in the Calculations spreadsheet. Click on the links below to view the source documents.</t>
  </si>
  <si>
    <t>OUTPUT SUMMARY (Only ChemTRAC priority substances)</t>
  </si>
  <si>
    <t>ChemTRAC Priority Substances</t>
  </si>
  <si>
    <r>
      <t>Note</t>
    </r>
    <r>
      <rPr>
        <i/>
        <sz val="12"/>
        <rFont val="Times New Roman"/>
        <family val="1"/>
      </rPr>
      <t>: some of these may not apply to your facility</t>
    </r>
  </si>
  <si>
    <r>
      <t>3.</t>
    </r>
    <r>
      <rPr>
        <sz val="12"/>
        <color indexed="8"/>
        <rFont val="Times New Roman"/>
        <family val="1"/>
      </rPr>
      <t xml:space="preserve"> Scroll down to view the Output Summary</t>
    </r>
  </si>
  <si>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</si>
  <si>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</si>
  <si>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 xml:space="preserve">This table gives you the estimated quantity of ChemTRAC priority substances that this activity manufactured, processed, otherwise used and/or released for the reporting year. </t>
  </si>
  <si>
    <t>Processed</t>
  </si>
  <si>
    <t>Otherwise Used</t>
  </si>
  <si>
    <t>Quantity (kg/yr)</t>
  </si>
  <si>
    <r>
      <t>Definitions</t>
    </r>
    <r>
      <rPr>
        <b/>
        <vertAlign val="superscript"/>
        <sz val="14"/>
        <color indexed="8"/>
        <rFont val="Times New Roman"/>
        <family val="1"/>
      </rPr>
      <t>1</t>
    </r>
  </si>
  <si>
    <r>
      <t>Manufactured</t>
    </r>
    <r>
      <rPr>
        <b/>
        <vertAlign val="superscript"/>
        <sz val="12"/>
        <color indexed="8"/>
        <rFont val="Times New Roman"/>
        <family val="1"/>
      </rPr>
      <t>1</t>
    </r>
  </si>
  <si>
    <t>Total MPO and Releases:</t>
  </si>
  <si>
    <t>Once you have your estimates for activiti(es) or process(es), enter the amounts of MPO and release of each substance from each process into the "Calculation of Totals" calculator (available at www.toronto.ca/chemtrac) to determine if you need to report.</t>
  </si>
  <si>
    <r>
      <rPr>
        <b/>
        <sz val="12"/>
        <color indexed="8"/>
        <rFont val="Times New Roman"/>
        <family val="1"/>
      </rPr>
      <t>1</t>
    </r>
    <r>
      <rPr>
        <sz val="12"/>
        <color indexed="8"/>
        <rFont val="Times New Roman"/>
        <family val="1"/>
      </rPr>
      <t>. Select the type of wafer dryer used during the reporting year</t>
    </r>
  </si>
  <si>
    <r>
      <rPr>
        <b/>
        <sz val="12"/>
        <color indexed="8"/>
        <rFont val="Times New Roman"/>
        <family val="1"/>
      </rPr>
      <t>2</t>
    </r>
    <r>
      <rPr>
        <sz val="12"/>
        <color indexed="8"/>
        <rFont val="Times New Roman"/>
        <family val="1"/>
      </rPr>
      <t>. Select the type of heat used in the dryer during the reporting year.</t>
    </r>
  </si>
  <si>
    <r>
      <rPr>
        <b/>
        <sz val="12"/>
        <color indexed="8"/>
        <rFont val="Times New Roman"/>
        <family val="1"/>
      </rPr>
      <t>3</t>
    </r>
    <r>
      <rPr>
        <sz val="12"/>
        <color indexed="8"/>
        <rFont val="Times New Roman"/>
        <family val="1"/>
      </rPr>
      <t>. Select the type of wafers processed during the reporting year.</t>
    </r>
  </si>
  <si>
    <r>
      <rPr>
        <b/>
        <sz val="12"/>
        <color indexed="8"/>
        <rFont val="Times New Roman"/>
        <family val="1"/>
      </rPr>
      <t>4.</t>
    </r>
    <r>
      <rPr>
        <sz val="12"/>
        <color indexed="8"/>
        <rFont val="Times New Roman"/>
        <family val="1"/>
      </rPr>
      <t xml:space="preserve"> Select the type of emissions control technology installed on the dryer.</t>
    </r>
  </si>
  <si>
    <r>
      <rPr>
        <b/>
        <sz val="12"/>
        <color indexed="8"/>
        <rFont val="Times New Roman"/>
        <family val="1"/>
      </rPr>
      <t>5.</t>
    </r>
    <r>
      <rPr>
        <sz val="12"/>
        <color indexed="8"/>
        <rFont val="Times New Roman"/>
        <family val="1"/>
      </rPr>
      <t xml:space="preserve"> Enter the quantity of wafers dried during the reporting year.</t>
    </r>
  </si>
  <si>
    <r>
      <rPr>
        <b/>
        <sz val="12"/>
        <color indexed="8"/>
        <rFont val="Times New Roman"/>
        <family val="1"/>
      </rPr>
      <t>6</t>
    </r>
    <r>
      <rPr>
        <sz val="12"/>
        <color indexed="8"/>
        <rFont val="Times New Roman"/>
        <family val="1"/>
      </rPr>
      <t>. Select the type of resin used during the reporting year.</t>
    </r>
  </si>
  <si>
    <r>
      <rPr>
        <b/>
        <sz val="12"/>
        <color indexed="8"/>
        <rFont val="Times New Roman"/>
        <family val="1"/>
      </rPr>
      <t>7.</t>
    </r>
    <r>
      <rPr>
        <sz val="12"/>
        <color indexed="8"/>
        <rFont val="Times New Roman"/>
        <family val="1"/>
      </rPr>
      <t xml:space="preserve"> Enter the total quantity of waferboard pressed during the reporting year.</t>
    </r>
  </si>
  <si>
    <r>
      <rPr>
        <b/>
        <sz val="12"/>
        <color indexed="8"/>
        <rFont val="Times New Roman"/>
        <family val="1"/>
      </rPr>
      <t>8</t>
    </r>
    <r>
      <rPr>
        <sz val="12"/>
        <color indexed="8"/>
        <rFont val="Times New Roman"/>
        <family val="1"/>
      </rPr>
      <t>. Enter the quantity of powder phenol formaldehyde (PF) resin used during the reporting year.</t>
    </r>
  </si>
  <si>
    <r>
      <rPr>
        <b/>
        <sz val="12"/>
        <color indexed="8"/>
        <rFont val="Times New Roman"/>
        <family val="1"/>
      </rPr>
      <t>9</t>
    </r>
    <r>
      <rPr>
        <sz val="12"/>
        <color indexed="8"/>
        <rFont val="Times New Roman"/>
        <family val="1"/>
      </rPr>
      <t>. Enter the quantity of liquid PF resin used during the reporting year.</t>
    </r>
  </si>
  <si>
    <r>
      <rPr>
        <b/>
        <sz val="12"/>
        <color indexed="8"/>
        <rFont val="Times New Roman"/>
        <family val="1"/>
      </rPr>
      <t>10.</t>
    </r>
    <r>
      <rPr>
        <sz val="12"/>
        <color indexed="8"/>
        <rFont val="Times New Roman"/>
        <family val="1"/>
      </rPr>
      <t xml:space="preserve"> Enter the quantity of methylene phenyl diisocyanate (MDI) resin used during the reporting year.</t>
    </r>
  </si>
  <si>
    <r>
      <rPr>
        <b/>
        <sz val="12"/>
        <color indexed="8"/>
        <rFont val="Times New Roman"/>
        <family val="1"/>
      </rPr>
      <t>11</t>
    </r>
    <r>
      <rPr>
        <sz val="12"/>
        <color indexed="8"/>
        <rFont val="Times New Roman"/>
        <family val="1"/>
      </rPr>
      <t>. Select the type of emissions control technology installed on the press.</t>
    </r>
  </si>
  <si>
    <t>Nitrogen Oxides (NOx)</t>
  </si>
  <si>
    <t>Particulate Matter (PM2.5)</t>
  </si>
  <si>
    <t>This page provides a summary of the estimated quantities of all substances manufactured, processed, otherwise used (MPO) and/or released.</t>
  </si>
  <si>
    <r>
      <t>Processed</t>
    </r>
    <r>
      <rPr>
        <b/>
        <vertAlign val="superscript"/>
        <sz val="12"/>
        <color indexed="8"/>
        <rFont val="Times New Roman"/>
        <family val="1"/>
      </rPr>
      <t>1</t>
    </r>
  </si>
  <si>
    <r>
      <t>Otherwise Used</t>
    </r>
    <r>
      <rPr>
        <b/>
        <vertAlign val="superscript"/>
        <sz val="12"/>
        <color indexed="8"/>
        <rFont val="Times New Roman"/>
        <family val="1"/>
      </rPr>
      <t>1</t>
    </r>
  </si>
  <si>
    <r>
      <t>Released to Air</t>
    </r>
    <r>
      <rPr>
        <b/>
        <vertAlign val="superscript"/>
        <sz val="12"/>
        <color indexed="8"/>
        <rFont val="Times New Roman"/>
        <family val="1"/>
      </rPr>
      <t>1</t>
    </r>
  </si>
  <si>
    <t>Released to Air</t>
  </si>
  <si>
    <r>
      <t xml:space="preserve">This page contains necessary instructions that will help you use this calculator to estimate the amount of priority substances and other chemicals that are manufactured, processed, otherwise used (MPO) and/or released during the manufacture of </t>
    </r>
    <r>
      <rPr>
        <b/>
        <sz val="12"/>
        <rFont val="Times New Roman"/>
        <family val="1"/>
      </rPr>
      <t>waferboard.</t>
    </r>
  </si>
  <si>
    <r>
      <rPr>
        <sz val="12"/>
        <rFont val="Times New Roman"/>
        <family val="1"/>
      </rPr>
      <t>If your facility has other activities or sources that MPO and/or release ChemTRAC priority substances (chemicals), you will need to calculate the chemical amounts contributed from these activities as well. Please go to  the</t>
    </r>
    <r>
      <rPr>
        <u val="single"/>
        <sz val="12"/>
        <color indexed="12"/>
        <rFont val="Times New Roman"/>
        <family val="1"/>
      </rPr>
      <t xml:space="preserve"> ChemTRAC website </t>
    </r>
    <r>
      <rPr>
        <sz val="12"/>
        <rFont val="Times New Roman"/>
        <family val="1"/>
      </rPr>
      <t>for other calculators and more information.</t>
    </r>
  </si>
  <si>
    <t>Total Volatile Organic Compound (VOCs)</t>
  </si>
  <si>
    <r>
      <t>Total Volatile Organic Compound (VOCs)</t>
    </r>
    <r>
      <rPr>
        <vertAlign val="superscript"/>
        <sz val="12"/>
        <color indexed="8"/>
        <rFont val="Times New Roman"/>
        <family val="1"/>
      </rPr>
      <t>(3)</t>
    </r>
  </si>
  <si>
    <r>
      <t xml:space="preserve">• </t>
    </r>
    <r>
      <rPr>
        <sz val="12"/>
        <rFont val="Times New Roman"/>
        <family val="1"/>
      </rPr>
      <t xml:space="preserve">This page gathers information related to the processes at your facility and shows the estimated amounts of priority substances 
that are manufactured, processed, otherwise used (MPO) and released during </t>
    </r>
    <r>
      <rPr>
        <b/>
        <sz val="12"/>
        <rFont val="Times New Roman"/>
        <family val="1"/>
      </rPr>
      <t>wafer board manufacturing.</t>
    </r>
  </si>
  <si>
    <t>Total quantity of powdered Phenol formaldehyde (PF) resin used:</t>
  </si>
  <si>
    <t>Total quantity of MDI (Methylene diphenyl diisocyanate) resin used</t>
  </si>
  <si>
    <t xml:space="preserve">• If you have site specific emission factors you may use them in the table below. If you choose to insert your own emission factor ensure that the units have been converted accordingly. </t>
  </si>
  <si>
    <t>• This page provides detailed calculations based on the information provided in the Input table.It also provides sample calculations and an assessment of emission factor data quality.</t>
  </si>
  <si>
    <t>Version 1.3, Last Updated: June 14, 2013 AK &amp; ZI</t>
  </si>
  <si>
    <t>Input-Output</t>
  </si>
  <si>
    <t>• Please provide all the information requested in the yellow cells. If a section does not apply to your facility, leave it blank.</t>
  </si>
  <si>
    <t xml:space="preserve">• To determine if you need to report, add the amounts shown in the Output Summary table to any other MPO or release values from other processes or sources, if any, in your facility. You will then need to compare the total values to the reporting thresholds. </t>
  </si>
  <si>
    <r>
      <t>•</t>
    </r>
    <r>
      <rPr>
        <sz val="12"/>
        <color indexed="8"/>
        <rFont val="Calibri"/>
        <family val="2"/>
      </rPr>
      <t xml:space="preserve"> </t>
    </r>
    <r>
      <rPr>
        <sz val="12"/>
        <rFont val="Times New Roman"/>
        <family val="1"/>
      </rPr>
      <t>You may use</t>
    </r>
    <r>
      <rPr>
        <sz val="12"/>
        <color indexed="12"/>
        <rFont val="Times New Roman"/>
        <family val="1"/>
      </rPr>
      <t xml:space="preserve"> </t>
    </r>
    <r>
      <rPr>
        <sz val="12"/>
        <rFont val="Times New Roman"/>
        <family val="1"/>
      </rPr>
      <t>the</t>
    </r>
    <r>
      <rPr>
        <b/>
        <sz val="12"/>
        <rFont val="Times New Roman"/>
        <family val="1"/>
      </rPr>
      <t xml:space="preserve"> Calculation of Totals </t>
    </r>
    <r>
      <rPr>
        <sz val="12"/>
        <rFont val="Times New Roman"/>
        <family val="1"/>
      </rPr>
      <t>spreadsheet to calculate the total.</t>
    </r>
  </si>
  <si>
    <r>
      <rPr>
        <vertAlign val="superscript"/>
        <sz val="11"/>
        <color indexed="8"/>
        <rFont val="Times New Roman"/>
        <family val="1"/>
      </rPr>
      <t>1</t>
    </r>
    <r>
      <rPr>
        <sz val="11"/>
        <color indexed="8"/>
        <rFont val="Times New Roman"/>
        <family val="1"/>
      </rPr>
      <t xml:space="preserve"> Definitions available in References tab.</t>
    </r>
  </si>
  <si>
    <r>
      <rPr>
        <b/>
        <sz val="12"/>
        <color indexed="8"/>
        <rFont val="Times New Roman"/>
        <family val="1"/>
      </rPr>
      <t>Manufacture</t>
    </r>
    <r>
      <rPr>
        <sz val="12"/>
        <color indexed="8"/>
        <rFont val="Times New Roman"/>
        <family val="1"/>
      </rPr>
      <t xml:space="preserve"> - To produce, prepare or compound a priority substance and includes the conincidental production of a priority substance as a by-product.</t>
    </r>
  </si>
  <si>
    <r>
      <rPr>
        <b/>
        <sz val="12"/>
        <color indexed="8"/>
        <rFont val="Times New Roman"/>
        <family val="1"/>
      </rPr>
      <t>Process</t>
    </r>
    <r>
      <rPr>
        <sz val="12"/>
        <color indexed="8"/>
        <rFont val="Times New Roman"/>
        <family val="1"/>
      </rPr>
      <t xml:space="preserve"> - 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</si>
  <si>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color indexed="8"/>
        <rFont val="Times New Roman"/>
        <family val="1"/>
      </rPr>
      <t>Otherwise Use</t>
    </r>
    <r>
      <rPr>
        <sz val="12"/>
        <color indexed="8"/>
        <rFont val="Times New Roman"/>
        <family val="1"/>
      </rPr>
      <t xml:space="preserve"> - Any use, disposal or release of a priority substance at a facility that does not fall under the definitions of "manufacture" or "process." This includes the use of the priority substance as a chemical processing aid, manufacturing aid or some other use.</t>
    </r>
  </si>
  <si>
    <r>
      <rPr>
        <b/>
        <sz val="12"/>
        <color indexed="8"/>
        <rFont val="Times New Roman"/>
        <family val="1"/>
      </rPr>
      <t>Release</t>
    </r>
    <r>
      <rPr>
        <sz val="12"/>
        <color indexed="8"/>
        <rFont val="Times New Roman"/>
        <family val="1"/>
      </rPr>
      <t xml:space="preserve"> - The emission or discharge of a priority substance, whether intentional, accidental or coincidental, from a facility into the environment.</t>
    </r>
  </si>
  <si>
    <r>
      <rPr>
        <vertAlign val="superscript"/>
        <sz val="10"/>
        <rFont val="Times New Roman"/>
        <family val="1"/>
      </rPr>
      <t>1</t>
    </r>
    <r>
      <rPr>
        <sz val="10"/>
        <rFont val="Times New Roman"/>
        <family val="1"/>
      </rPr>
      <t xml:space="preserve">For details refer to the Environmental Reporting and Disclosure Bylaw available at the </t>
    </r>
    <r>
      <rPr>
        <u val="single"/>
        <sz val="10"/>
        <color indexed="12"/>
        <rFont val="Times New Roman"/>
        <family val="1"/>
      </rPr>
      <t>ChemTRAC website</t>
    </r>
  </si>
  <si>
    <t xml:space="preserve">Calculation Tool for </t>
  </si>
  <si>
    <t>Wafer Board Manufacturing</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</si>
</sst>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g/yr&quot;"/>
    <numFmt numFmtId="173" formatCode="0.0"/>
    <numFmt numFmtId="174" formatCode="0.000"/>
    <numFmt numFmtId="175" formatCode="0.0000000"/>
    <numFmt numFmtId="176" formatCode="0.000000"/>
    <numFmt numFmtId="177" formatCode="0.00000"/>
    <numFmt numFmtId="178" formatCode="0.0000"/>
    <numFmt numFmtId="179" formatCode="0.0\ &quot;kg/yr&quot;"/>
    <numFmt numFmtId="180" formatCode="0.00000000"/>
    <numFmt numFmtId="181" formatCode="[$-1009]mmmm\-dd\-yy"/>
    <numFmt numFmtId="182" formatCode="[$-409]h:mm:ss\ AM/PM"/>
    <numFmt numFmtId="183" formatCode="_(* #,##0.000_);_(* \(#,##0.000\);_(* &quot;-&quot;??_);_(@_)"/>
    <numFmt numFmtId="184" formatCode="_(* #,##0.0_);_(* \(#,##0.0\);_(* &quot;-&quot;??_);_(@_)"/>
    <numFmt numFmtId="185" formatCode="_(* #,##0_);_(* \(#,##0\);_(* &quot;-&quot;??_);_(@_)"/>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1009]mmmm\ d\,\ yyyy"/>
  </numFmts>
  <fonts count="77">
    <font>
      <sz val="11"/>
      <color theme="1"/>
      <name val="Calibri"/>
      <family val="2"/>
    </font>
    <font>
      <sz val="11"/>
      <color indexed="8"/>
      <name val="Calibri"/>
      <family val="2"/>
    </font>
    <font>
      <b/>
      <sz val="12"/>
      <color indexed="8"/>
      <name val="Times New Roman"/>
      <family val="1"/>
    </font>
    <font>
      <b/>
      <vertAlign val="superscript"/>
      <sz val="12"/>
      <color indexed="8"/>
      <name val="Times New Roman"/>
      <family val="1"/>
    </font>
    <font>
      <sz val="12"/>
      <color indexed="8"/>
      <name val="Times New Roman"/>
      <family val="1"/>
    </font>
    <font>
      <vertAlign val="superscript"/>
      <sz val="12"/>
      <color indexed="8"/>
      <name val="Times New Roman"/>
      <family val="1"/>
    </font>
    <font>
      <sz val="10"/>
      <name val="Arial"/>
      <family val="2"/>
    </font>
    <font>
      <b/>
      <sz val="16"/>
      <color indexed="8"/>
      <name val="Times New Roman"/>
      <family val="1"/>
    </font>
    <font>
      <sz val="10"/>
      <color indexed="8"/>
      <name val="Times New Roman"/>
      <family val="1"/>
    </font>
    <font>
      <b/>
      <sz val="14"/>
      <color indexed="8"/>
      <name val="Times New Roman"/>
      <family val="1"/>
    </font>
    <font>
      <b/>
      <sz val="11"/>
      <color indexed="8"/>
      <name val="Times New Roman"/>
      <family val="1"/>
    </font>
    <font>
      <u val="single"/>
      <sz val="12"/>
      <color indexed="12"/>
      <name val="Times New Roman"/>
      <family val="1"/>
    </font>
    <font>
      <sz val="12"/>
      <name val="Times New Roman"/>
      <family val="1"/>
    </font>
    <font>
      <sz val="12"/>
      <color indexed="8"/>
      <name val="Calibri"/>
      <family val="2"/>
    </font>
    <font>
      <sz val="12"/>
      <color indexed="10"/>
      <name val="Times New Roman"/>
      <family val="1"/>
    </font>
    <font>
      <b/>
      <sz val="12"/>
      <name val="Times New Roman"/>
      <family val="1"/>
    </font>
    <font>
      <u val="single"/>
      <sz val="14.3"/>
      <color indexed="12"/>
      <name val="Calibri"/>
      <family val="2"/>
    </font>
    <font>
      <b/>
      <sz val="12"/>
      <color indexed="10"/>
      <name val="Times New Roman"/>
      <family val="1"/>
    </font>
    <font>
      <sz val="8"/>
      <color indexed="8"/>
      <name val="Calibri"/>
      <family val="2"/>
    </font>
    <font>
      <b/>
      <sz val="14"/>
      <name val="Times New Roman"/>
      <family val="1"/>
    </font>
    <font>
      <sz val="14"/>
      <name val="Arial"/>
      <family val="2"/>
    </font>
    <font>
      <sz val="12"/>
      <color indexed="12"/>
      <name val="Times New Roman"/>
      <family val="1"/>
    </font>
    <font>
      <sz val="10"/>
      <color indexed="8"/>
      <name val="Calibri"/>
      <family val="2"/>
    </font>
    <font>
      <b/>
      <i/>
      <sz val="12"/>
      <name val="Times New Roman"/>
      <family val="1"/>
    </font>
    <font>
      <i/>
      <sz val="12"/>
      <name val="Times New Roman"/>
      <family val="1"/>
    </font>
    <font>
      <b/>
      <sz val="12"/>
      <color indexed="8"/>
      <name val="Calibri"/>
      <family val="2"/>
    </font>
    <font>
      <b/>
      <vertAlign val="superscript"/>
      <sz val="14"/>
      <color indexed="8"/>
      <name val="Times New Roman"/>
      <family val="1"/>
    </font>
    <font>
      <u val="single"/>
      <sz val="10"/>
      <color indexed="12"/>
      <name val="Arial"/>
      <family val="2"/>
    </font>
    <font>
      <sz val="11"/>
      <color indexed="8"/>
      <name val="Times New Roman"/>
      <family val="1"/>
    </font>
    <font>
      <sz val="10"/>
      <name val="Times New Roman"/>
      <family val="1"/>
    </font>
    <font>
      <sz val="12"/>
      <name val="Arial"/>
      <family val="2"/>
    </font>
    <font>
      <vertAlign val="superscript"/>
      <sz val="11"/>
      <color indexed="8"/>
      <name val="Times New Roman"/>
      <family val="1"/>
    </font>
    <font>
      <u val="single"/>
      <sz val="10"/>
      <color indexed="12"/>
      <name val="Times New Roman"/>
      <family val="1"/>
    </font>
    <font>
      <vertAlign val="superscrip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7"/>
      <color indexed="8"/>
      <name val="Times New Roman"/>
      <family val="1"/>
    </font>
    <font>
      <sz val="11"/>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0"/>
      <color theme="1"/>
      <name val="Times New Roman"/>
      <family val="1"/>
    </font>
    <font>
      <sz val="12"/>
      <color theme="1"/>
      <name val="Times New Roman"/>
      <family val="1"/>
    </font>
    <font>
      <sz val="11"/>
      <color theme="1"/>
      <name val="Times New Roman"/>
      <family val="1"/>
    </font>
    <font>
      <sz val="12"/>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CCCCFF"/>
        <bgColor indexed="64"/>
      </patternFill>
    </fill>
    <fill>
      <patternFill patternType="solid">
        <fgColor theme="3" tint="0.7999799847602844"/>
        <bgColor indexed="64"/>
      </patternFill>
    </fill>
    <fill>
      <patternFill patternType="solid">
        <fgColor indexed="51"/>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color indexed="63"/>
      </left>
      <right style="thin"/>
      <top>
        <color indexed="63"/>
      </top>
      <bottom>
        <color indexed="63"/>
      </bottom>
    </border>
    <border>
      <left style="medium"/>
      <right style="thin"/>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color indexed="63"/>
      </right>
      <top style="medium"/>
      <bottom style="medium"/>
    </border>
    <border>
      <left style="medium"/>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color indexed="63"/>
      </top>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medium"/>
      <right style="medium"/>
      <top style="medium"/>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 fillId="0" borderId="0">
      <alignment/>
      <protection/>
    </xf>
    <xf numFmtId="0" fontId="1"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02">
    <xf numFmtId="0" fontId="0" fillId="0" borderId="0" xfId="0" applyFont="1" applyAlignment="1">
      <alignment/>
    </xf>
    <xf numFmtId="0" fontId="4" fillId="0" borderId="0" xfId="0" applyFont="1" applyAlignment="1">
      <alignment/>
    </xf>
    <xf numFmtId="0" fontId="7" fillId="33" borderId="0" xfId="0" applyFont="1" applyFill="1" applyAlignment="1">
      <alignment horizontal="justify"/>
    </xf>
    <xf numFmtId="0" fontId="0" fillId="33" borderId="0" xfId="0" applyFill="1" applyAlignment="1">
      <alignment/>
    </xf>
    <xf numFmtId="0" fontId="8" fillId="33" borderId="0" xfId="0" applyFont="1" applyFill="1" applyAlignment="1">
      <alignment horizontal="justify"/>
    </xf>
    <xf numFmtId="0" fontId="2" fillId="33" borderId="0" xfId="0" applyFont="1" applyFill="1" applyAlignment="1">
      <alignment/>
    </xf>
    <xf numFmtId="0" fontId="4" fillId="33" borderId="0" xfId="0" applyFont="1" applyFill="1" applyAlignment="1">
      <alignment/>
    </xf>
    <xf numFmtId="0" fontId="2" fillId="33" borderId="0" xfId="0" applyFont="1" applyFill="1" applyAlignment="1">
      <alignment/>
    </xf>
    <xf numFmtId="49" fontId="4" fillId="33" borderId="0" xfId="0" applyNumberFormat="1" applyFont="1" applyFill="1" applyAlignment="1">
      <alignment horizontal="center"/>
    </xf>
    <xf numFmtId="0" fontId="4" fillId="33" borderId="0" xfId="0" applyFont="1" applyFill="1" applyAlignment="1">
      <alignment horizontal="center"/>
    </xf>
    <xf numFmtId="0" fontId="2" fillId="33" borderId="10" xfId="0" applyFont="1" applyFill="1" applyBorder="1" applyAlignment="1">
      <alignment horizontal="center" wrapText="1"/>
    </xf>
    <xf numFmtId="0" fontId="4" fillId="33" borderId="11" xfId="0" applyFont="1" applyFill="1" applyBorder="1" applyAlignment="1">
      <alignment/>
    </xf>
    <xf numFmtId="49" fontId="4" fillId="33" borderId="12" xfId="0" applyNumberFormat="1" applyFont="1" applyFill="1" applyBorder="1" applyAlignment="1">
      <alignment horizontal="center"/>
    </xf>
    <xf numFmtId="173" fontId="4" fillId="33" borderId="12" xfId="0" applyNumberFormat="1"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49" fontId="4" fillId="33" borderId="14" xfId="0" applyNumberFormat="1" applyFont="1" applyFill="1" applyBorder="1" applyAlignment="1">
      <alignment horizontal="center"/>
    </xf>
    <xf numFmtId="173" fontId="4" fillId="33" borderId="14" xfId="0" applyNumberFormat="1" applyFont="1" applyFill="1" applyBorder="1" applyAlignment="1">
      <alignment horizontal="center"/>
    </xf>
    <xf numFmtId="0" fontId="4" fillId="33" borderId="14" xfId="0" applyFont="1" applyFill="1" applyBorder="1" applyAlignment="1">
      <alignment horizontal="center"/>
    </xf>
    <xf numFmtId="0" fontId="4" fillId="33" borderId="15" xfId="0" applyFont="1" applyFill="1" applyBorder="1" applyAlignment="1">
      <alignment horizontal="center"/>
    </xf>
    <xf numFmtId="0" fontId="2" fillId="33" borderId="16" xfId="0" applyFont="1" applyFill="1" applyBorder="1" applyAlignment="1">
      <alignment/>
    </xf>
    <xf numFmtId="49" fontId="4" fillId="33" borderId="17" xfId="0" applyNumberFormat="1" applyFont="1" applyFill="1" applyBorder="1" applyAlignment="1">
      <alignment horizontal="center"/>
    </xf>
    <xf numFmtId="0" fontId="4" fillId="33" borderId="17" xfId="0" applyFont="1" applyFill="1" applyBorder="1" applyAlignment="1">
      <alignment horizontal="center"/>
    </xf>
    <xf numFmtId="0" fontId="4" fillId="33" borderId="18" xfId="0" applyFont="1" applyFill="1" applyBorder="1" applyAlignment="1">
      <alignment horizontal="center"/>
    </xf>
    <xf numFmtId="0" fontId="4" fillId="33" borderId="0" xfId="0" applyFont="1" applyFill="1" applyBorder="1" applyAlignment="1">
      <alignment/>
    </xf>
    <xf numFmtId="49" fontId="4" fillId="33" borderId="0" xfId="0" applyNumberFormat="1" applyFont="1" applyFill="1" applyBorder="1" applyAlignment="1">
      <alignment horizontal="center"/>
    </xf>
    <xf numFmtId="173" fontId="4" fillId="33" borderId="0" xfId="0" applyNumberFormat="1" applyFont="1" applyFill="1" applyBorder="1" applyAlignment="1">
      <alignment horizontal="center"/>
    </xf>
    <xf numFmtId="0" fontId="4" fillId="33" borderId="0" xfId="0" applyFont="1" applyFill="1" applyBorder="1" applyAlignment="1">
      <alignment horizontal="center"/>
    </xf>
    <xf numFmtId="49" fontId="2" fillId="33" borderId="0" xfId="0" applyNumberFormat="1" applyFont="1" applyFill="1" applyBorder="1" applyAlignment="1">
      <alignment horizontal="center"/>
    </xf>
    <xf numFmtId="0" fontId="2" fillId="33" borderId="17" xfId="0" applyFont="1" applyFill="1" applyBorder="1" applyAlignment="1">
      <alignment/>
    </xf>
    <xf numFmtId="0" fontId="2" fillId="33" borderId="18" xfId="0" applyFont="1" applyFill="1" applyBorder="1" applyAlignment="1">
      <alignment/>
    </xf>
    <xf numFmtId="0" fontId="4" fillId="33" borderId="12" xfId="0" applyFont="1" applyFill="1" applyBorder="1" applyAlignment="1">
      <alignment/>
    </xf>
    <xf numFmtId="0" fontId="4" fillId="33" borderId="14" xfId="0" applyFont="1" applyFill="1" applyBorder="1" applyAlignment="1">
      <alignment/>
    </xf>
    <xf numFmtId="0" fontId="4" fillId="33" borderId="0" xfId="0" applyFont="1" applyFill="1" applyAlignment="1">
      <alignment horizontal="right"/>
    </xf>
    <xf numFmtId="172" fontId="4" fillId="33" borderId="0" xfId="0" applyNumberFormat="1" applyFont="1" applyFill="1" applyAlignment="1">
      <alignment horizontal="left"/>
    </xf>
    <xf numFmtId="0" fontId="4" fillId="33" borderId="0" xfId="0" applyFont="1" applyFill="1" applyAlignment="1">
      <alignment horizontal="left"/>
    </xf>
    <xf numFmtId="0" fontId="2" fillId="33" borderId="19" xfId="0" applyFont="1" applyFill="1" applyBorder="1" applyAlignment="1">
      <alignment/>
    </xf>
    <xf numFmtId="0" fontId="2" fillId="33" borderId="10" xfId="0" applyFont="1" applyFill="1" applyBorder="1" applyAlignment="1">
      <alignment/>
    </xf>
    <xf numFmtId="49" fontId="2" fillId="33" borderId="10" xfId="0" applyNumberFormat="1" applyFont="1" applyFill="1" applyBorder="1" applyAlignment="1">
      <alignment horizontal="center"/>
    </xf>
    <xf numFmtId="0" fontId="2" fillId="33" borderId="20" xfId="0" applyFont="1" applyFill="1" applyBorder="1" applyAlignment="1">
      <alignment horizontal="center" wrapText="1"/>
    </xf>
    <xf numFmtId="0" fontId="4" fillId="33" borderId="21" xfId="0" applyFont="1" applyFill="1" applyBorder="1" applyAlignment="1">
      <alignment/>
    </xf>
    <xf numFmtId="49" fontId="4" fillId="33" borderId="21" xfId="0" applyNumberFormat="1" applyFont="1" applyFill="1" applyBorder="1" applyAlignment="1">
      <alignment horizontal="center"/>
    </xf>
    <xf numFmtId="0" fontId="4" fillId="33" borderId="21" xfId="0" applyFont="1" applyFill="1" applyBorder="1" applyAlignment="1">
      <alignment horizontal="center"/>
    </xf>
    <xf numFmtId="0" fontId="4" fillId="33" borderId="22" xfId="0" applyFont="1" applyFill="1" applyBorder="1" applyAlignment="1">
      <alignment horizontal="center"/>
    </xf>
    <xf numFmtId="0" fontId="4" fillId="33" borderId="23" xfId="0" applyFont="1" applyFill="1" applyBorder="1" applyAlignment="1">
      <alignment/>
    </xf>
    <xf numFmtId="49" fontId="4" fillId="33" borderId="23" xfId="0" applyNumberFormat="1" applyFont="1" applyFill="1" applyBorder="1" applyAlignment="1">
      <alignment horizontal="center"/>
    </xf>
    <xf numFmtId="0" fontId="4" fillId="33" borderId="23" xfId="0" applyFont="1" applyFill="1" applyBorder="1" applyAlignment="1">
      <alignment horizontal="center"/>
    </xf>
    <xf numFmtId="0" fontId="4" fillId="33" borderId="24" xfId="0" applyFont="1" applyFill="1" applyBorder="1" applyAlignment="1">
      <alignment/>
    </xf>
    <xf numFmtId="0" fontId="4" fillId="33" borderId="25" xfId="0" applyFont="1" applyFill="1" applyBorder="1" applyAlignment="1">
      <alignment/>
    </xf>
    <xf numFmtId="0" fontId="4" fillId="33" borderId="26" xfId="0" applyFont="1" applyFill="1" applyBorder="1" applyAlignment="1">
      <alignment/>
    </xf>
    <xf numFmtId="0" fontId="4" fillId="33" borderId="17" xfId="0" applyFont="1" applyFill="1" applyBorder="1" applyAlignment="1">
      <alignment/>
    </xf>
    <xf numFmtId="0" fontId="4" fillId="33" borderId="27" xfId="0" applyFont="1" applyFill="1" applyBorder="1" applyAlignment="1">
      <alignment/>
    </xf>
    <xf numFmtId="179" fontId="4" fillId="33" borderId="0" xfId="0" applyNumberFormat="1" applyFont="1" applyFill="1" applyAlignment="1">
      <alignment horizontal="left"/>
    </xf>
    <xf numFmtId="0" fontId="10" fillId="33" borderId="0" xfId="0" applyFont="1" applyFill="1" applyAlignment="1">
      <alignment horizontal="justify" vertical="top"/>
    </xf>
    <xf numFmtId="0" fontId="4" fillId="34" borderId="28" xfId="0" applyFont="1" applyFill="1" applyBorder="1" applyAlignment="1">
      <alignment/>
    </xf>
    <xf numFmtId="0" fontId="2" fillId="34" borderId="29" xfId="0" applyFont="1" applyFill="1" applyBorder="1" applyAlignment="1">
      <alignment/>
    </xf>
    <xf numFmtId="0" fontId="4" fillId="34" borderId="29" xfId="0" applyFont="1" applyFill="1" applyBorder="1" applyAlignment="1">
      <alignment/>
    </xf>
    <xf numFmtId="0" fontId="4" fillId="34" borderId="30" xfId="0" applyFont="1" applyFill="1" applyBorder="1" applyAlignment="1">
      <alignment/>
    </xf>
    <xf numFmtId="0" fontId="4" fillId="34" borderId="27" xfId="0" applyFont="1" applyFill="1" applyBorder="1" applyAlignment="1">
      <alignment/>
    </xf>
    <xf numFmtId="0" fontId="4" fillId="34" borderId="31" xfId="0" applyFont="1" applyFill="1" applyBorder="1" applyAlignment="1">
      <alignment/>
    </xf>
    <xf numFmtId="0" fontId="4" fillId="34" borderId="32" xfId="0" applyFont="1" applyFill="1" applyBorder="1" applyAlignment="1">
      <alignment/>
    </xf>
    <xf numFmtId="0" fontId="4" fillId="34" borderId="33" xfId="0" applyFont="1" applyFill="1" applyBorder="1" applyAlignment="1">
      <alignment/>
    </xf>
    <xf numFmtId="0" fontId="4" fillId="34" borderId="34" xfId="0" applyFont="1" applyFill="1" applyBorder="1" applyAlignment="1">
      <alignment/>
    </xf>
    <xf numFmtId="0" fontId="4" fillId="35" borderId="35" xfId="0" applyFont="1" applyFill="1" applyBorder="1" applyAlignment="1">
      <alignment/>
    </xf>
    <xf numFmtId="0" fontId="4" fillId="35" borderId="36" xfId="0" applyFont="1" applyFill="1" applyBorder="1" applyAlignment="1">
      <alignment/>
    </xf>
    <xf numFmtId="0" fontId="4" fillId="35" borderId="37" xfId="0" applyFont="1" applyFill="1" applyBorder="1" applyAlignment="1">
      <alignment/>
    </xf>
    <xf numFmtId="0" fontId="4" fillId="36" borderId="28" xfId="0" applyFont="1" applyFill="1" applyBorder="1" applyAlignment="1">
      <alignment/>
    </xf>
    <xf numFmtId="0" fontId="2" fillId="36" borderId="29" xfId="0" applyFont="1" applyFill="1" applyBorder="1" applyAlignment="1">
      <alignment/>
    </xf>
    <xf numFmtId="0" fontId="4" fillId="36" borderId="29" xfId="0" applyFont="1" applyFill="1" applyBorder="1" applyAlignment="1">
      <alignment/>
    </xf>
    <xf numFmtId="0" fontId="4" fillId="36" borderId="27" xfId="0" applyFont="1" applyFill="1" applyBorder="1" applyAlignment="1">
      <alignment/>
    </xf>
    <xf numFmtId="0" fontId="4" fillId="36" borderId="32" xfId="0" applyFont="1" applyFill="1" applyBorder="1" applyAlignment="1">
      <alignment/>
    </xf>
    <xf numFmtId="0" fontId="4" fillId="36" borderId="33" xfId="0" applyFont="1" applyFill="1" applyBorder="1" applyAlignment="1">
      <alignment/>
    </xf>
    <xf numFmtId="173" fontId="4" fillId="35" borderId="12" xfId="0" applyNumberFormat="1" applyFont="1" applyFill="1" applyBorder="1" applyAlignment="1">
      <alignment horizontal="center"/>
    </xf>
    <xf numFmtId="173" fontId="4" fillId="35" borderId="14" xfId="0" applyNumberFormat="1" applyFont="1" applyFill="1" applyBorder="1" applyAlignment="1">
      <alignment horizontal="center"/>
    </xf>
    <xf numFmtId="0" fontId="2" fillId="33" borderId="0" xfId="0" applyFont="1" applyFill="1" applyAlignment="1">
      <alignment horizontal="left"/>
    </xf>
    <xf numFmtId="174" fontId="4" fillId="33" borderId="12" xfId="0" applyNumberFormat="1" applyFont="1" applyFill="1" applyBorder="1" applyAlignment="1">
      <alignment horizontal="center"/>
    </xf>
    <xf numFmtId="2" fontId="4" fillId="33" borderId="12" xfId="0" applyNumberFormat="1" applyFont="1" applyFill="1" applyBorder="1" applyAlignment="1">
      <alignment horizontal="center"/>
    </xf>
    <xf numFmtId="178" fontId="4" fillId="33" borderId="12" xfId="0" applyNumberFormat="1" applyFont="1" applyFill="1" applyBorder="1" applyAlignment="1">
      <alignment horizontal="center"/>
    </xf>
    <xf numFmtId="0" fontId="17" fillId="33" borderId="0" xfId="0" applyFont="1" applyFill="1" applyAlignment="1">
      <alignment/>
    </xf>
    <xf numFmtId="175" fontId="4" fillId="33" borderId="12" xfId="0" applyNumberFormat="1" applyFont="1" applyFill="1" applyBorder="1" applyAlignment="1">
      <alignment horizontal="center"/>
    </xf>
    <xf numFmtId="177" fontId="4" fillId="33" borderId="21" xfId="0" applyNumberFormat="1" applyFont="1" applyFill="1" applyBorder="1" applyAlignment="1">
      <alignment horizontal="center"/>
    </xf>
    <xf numFmtId="0" fontId="2" fillId="33" borderId="38" xfId="0" applyFont="1" applyFill="1" applyBorder="1" applyAlignment="1">
      <alignment horizontal="center" wrapText="1"/>
    </xf>
    <xf numFmtId="0" fontId="17" fillId="33" borderId="0" xfId="0" applyFont="1" applyFill="1" applyAlignment="1">
      <alignment horizontal="left" wrapText="1"/>
    </xf>
    <xf numFmtId="2" fontId="4" fillId="33" borderId="23" xfId="0" applyNumberFormat="1" applyFont="1" applyFill="1" applyBorder="1" applyAlignment="1">
      <alignment horizontal="center"/>
    </xf>
    <xf numFmtId="2" fontId="4" fillId="33" borderId="21" xfId="0" applyNumberFormat="1" applyFont="1" applyFill="1" applyBorder="1" applyAlignment="1">
      <alignment horizontal="center"/>
    </xf>
    <xf numFmtId="173" fontId="4" fillId="33" borderId="21" xfId="0" applyNumberFormat="1" applyFont="1" applyFill="1" applyBorder="1" applyAlignment="1">
      <alignment horizontal="center"/>
    </xf>
    <xf numFmtId="0" fontId="4" fillId="33" borderId="39" xfId="0" applyFont="1" applyFill="1" applyBorder="1" applyAlignment="1">
      <alignment/>
    </xf>
    <xf numFmtId="173" fontId="4" fillId="33" borderId="23" xfId="0" applyNumberFormat="1" applyFont="1" applyFill="1" applyBorder="1" applyAlignment="1">
      <alignment horizontal="center"/>
    </xf>
    <xf numFmtId="174" fontId="4" fillId="33" borderId="21" xfId="0" applyNumberFormat="1" applyFont="1" applyFill="1" applyBorder="1" applyAlignment="1">
      <alignment horizontal="center"/>
    </xf>
    <xf numFmtId="173" fontId="4" fillId="33" borderId="26" xfId="0" applyNumberFormat="1" applyFont="1" applyFill="1" applyBorder="1" applyAlignment="1">
      <alignment horizontal="center"/>
    </xf>
    <xf numFmtId="0" fontId="4" fillId="33" borderId="40" xfId="0" applyFont="1" applyFill="1" applyBorder="1" applyAlignment="1">
      <alignment/>
    </xf>
    <xf numFmtId="0" fontId="4" fillId="33" borderId="41" xfId="0" applyFont="1" applyFill="1" applyBorder="1" applyAlignment="1">
      <alignment/>
    </xf>
    <xf numFmtId="0" fontId="2" fillId="33" borderId="42" xfId="0" applyFont="1" applyFill="1" applyBorder="1" applyAlignment="1">
      <alignment/>
    </xf>
    <xf numFmtId="0" fontId="2" fillId="33" borderId="43" xfId="0" applyFont="1" applyFill="1" applyBorder="1" applyAlignment="1">
      <alignment/>
    </xf>
    <xf numFmtId="0" fontId="4" fillId="33" borderId="44" xfId="0" applyFont="1" applyFill="1" applyBorder="1" applyAlignment="1">
      <alignment/>
    </xf>
    <xf numFmtId="0" fontId="4" fillId="33" borderId="45" xfId="0" applyFont="1" applyFill="1" applyBorder="1" applyAlignment="1">
      <alignment/>
    </xf>
    <xf numFmtId="49" fontId="4" fillId="33" borderId="45" xfId="0" applyNumberFormat="1" applyFont="1" applyFill="1" applyBorder="1" applyAlignment="1">
      <alignment horizontal="center"/>
    </xf>
    <xf numFmtId="174" fontId="4" fillId="33" borderId="45" xfId="0" applyNumberFormat="1" applyFont="1" applyFill="1" applyBorder="1" applyAlignment="1">
      <alignment horizontal="center"/>
    </xf>
    <xf numFmtId="173" fontId="4" fillId="33" borderId="45" xfId="0" applyNumberFormat="1" applyFont="1" applyFill="1" applyBorder="1" applyAlignment="1">
      <alignment horizontal="center"/>
    </xf>
    <xf numFmtId="0" fontId="4" fillId="33" borderId="32" xfId="0" applyFont="1" applyFill="1" applyBorder="1" applyAlignment="1">
      <alignment/>
    </xf>
    <xf numFmtId="174" fontId="4" fillId="33" borderId="23" xfId="0" applyNumberFormat="1" applyFont="1" applyFill="1" applyBorder="1" applyAlignment="1">
      <alignment horizontal="center"/>
    </xf>
    <xf numFmtId="0" fontId="4" fillId="33" borderId="46" xfId="0" applyFont="1" applyFill="1" applyBorder="1" applyAlignment="1">
      <alignment horizontal="center"/>
    </xf>
    <xf numFmtId="0" fontId="4" fillId="33" borderId="31" xfId="0" applyFont="1" applyFill="1" applyBorder="1" applyAlignment="1">
      <alignment horizontal="center"/>
    </xf>
    <xf numFmtId="0" fontId="4" fillId="33" borderId="47" xfId="0" applyFont="1" applyFill="1" applyBorder="1" applyAlignment="1">
      <alignment horizontal="center"/>
    </xf>
    <xf numFmtId="173" fontId="4" fillId="33" borderId="26" xfId="42" applyNumberFormat="1" applyFont="1" applyFill="1" applyBorder="1" applyAlignment="1">
      <alignment horizontal="center"/>
    </xf>
    <xf numFmtId="173" fontId="4" fillId="33" borderId="21" xfId="42" applyNumberFormat="1" applyFont="1" applyFill="1" applyBorder="1" applyAlignment="1">
      <alignment horizontal="center"/>
    </xf>
    <xf numFmtId="173" fontId="4" fillId="33" borderId="23" xfId="42" applyNumberFormat="1" applyFont="1" applyFill="1" applyBorder="1" applyAlignment="1">
      <alignment horizontal="center"/>
    </xf>
    <xf numFmtId="173" fontId="4" fillId="33" borderId="12" xfId="42" applyNumberFormat="1" applyFont="1" applyFill="1" applyBorder="1" applyAlignment="1">
      <alignment horizontal="center"/>
    </xf>
    <xf numFmtId="173" fontId="4" fillId="33" borderId="45" xfId="42" applyNumberFormat="1" applyFont="1" applyFill="1" applyBorder="1" applyAlignment="1">
      <alignment horizontal="center"/>
    </xf>
    <xf numFmtId="173" fontId="4" fillId="33" borderId="14" xfId="42" applyNumberFormat="1" applyFont="1" applyFill="1" applyBorder="1" applyAlignment="1">
      <alignment horizontal="center"/>
    </xf>
    <xf numFmtId="173" fontId="4" fillId="35" borderId="13" xfId="0" applyNumberFormat="1" applyFont="1" applyFill="1" applyBorder="1" applyAlignment="1">
      <alignment horizontal="center"/>
    </xf>
    <xf numFmtId="173" fontId="4" fillId="35" borderId="15" xfId="0" applyNumberFormat="1" applyFont="1" applyFill="1" applyBorder="1" applyAlignment="1">
      <alignment horizontal="center"/>
    </xf>
    <xf numFmtId="173" fontId="4" fillId="33" borderId="13" xfId="0" applyNumberFormat="1" applyFont="1" applyFill="1" applyBorder="1" applyAlignment="1">
      <alignment horizontal="center"/>
    </xf>
    <xf numFmtId="173" fontId="4" fillId="33" borderId="15" xfId="0" applyNumberFormat="1" applyFont="1" applyFill="1" applyBorder="1" applyAlignment="1">
      <alignment horizontal="center"/>
    </xf>
    <xf numFmtId="0" fontId="4" fillId="33" borderId="48" xfId="0" applyFont="1" applyFill="1" applyBorder="1" applyAlignment="1">
      <alignment horizontal="justify"/>
    </xf>
    <xf numFmtId="0" fontId="2" fillId="34" borderId="27" xfId="0" applyFont="1" applyFill="1" applyBorder="1" applyAlignment="1">
      <alignment horizontal="left" vertical="top" wrapText="1"/>
    </xf>
    <xf numFmtId="0" fontId="4" fillId="34" borderId="30" xfId="0" applyNumberFormat="1" applyFont="1" applyFill="1" applyBorder="1" applyAlignment="1">
      <alignment horizontal="justify" vertical="top" wrapText="1"/>
    </xf>
    <xf numFmtId="0" fontId="4" fillId="34" borderId="31" xfId="0" applyNumberFormat="1" applyFont="1" applyFill="1" applyBorder="1" applyAlignment="1">
      <alignment horizontal="justify" vertical="top" wrapText="1"/>
    </xf>
    <xf numFmtId="0" fontId="16" fillId="0" borderId="0" xfId="53" applyFont="1" applyAlignment="1" applyProtection="1">
      <alignment/>
      <protection/>
    </xf>
    <xf numFmtId="0" fontId="1" fillId="33" borderId="0" xfId="0" applyFont="1" applyFill="1" applyAlignment="1">
      <alignment/>
    </xf>
    <xf numFmtId="0" fontId="13" fillId="34" borderId="27" xfId="0" applyFont="1" applyFill="1" applyBorder="1" applyAlignment="1">
      <alignment/>
    </xf>
    <xf numFmtId="0" fontId="4" fillId="34" borderId="31" xfId="0" applyFont="1" applyFill="1" applyBorder="1" applyAlignment="1" quotePrefix="1">
      <alignment/>
    </xf>
    <xf numFmtId="0" fontId="13" fillId="34" borderId="32" xfId="0" applyFont="1" applyFill="1" applyBorder="1" applyAlignment="1">
      <alignment/>
    </xf>
    <xf numFmtId="0" fontId="12" fillId="34" borderId="31" xfId="0" applyFont="1" applyFill="1" applyBorder="1" applyAlignment="1" quotePrefix="1">
      <alignment wrapText="1"/>
    </xf>
    <xf numFmtId="0" fontId="4" fillId="33" borderId="0" xfId="0" applyFont="1" applyFill="1" applyAlignment="1">
      <alignment/>
    </xf>
    <xf numFmtId="0" fontId="4" fillId="0" borderId="0" xfId="0" applyFont="1" applyAlignment="1">
      <alignment/>
    </xf>
    <xf numFmtId="0" fontId="14" fillId="33" borderId="0" xfId="0" applyFont="1" applyFill="1" applyAlignment="1">
      <alignment/>
    </xf>
    <xf numFmtId="0" fontId="15" fillId="33" borderId="0" xfId="0" applyFont="1" applyFill="1" applyBorder="1" applyAlignment="1">
      <alignment wrapText="1"/>
    </xf>
    <xf numFmtId="0" fontId="12" fillId="34" borderId="49" xfId="0" applyFont="1" applyFill="1" applyBorder="1" applyAlignment="1">
      <alignment wrapText="1"/>
    </xf>
    <xf numFmtId="0" fontId="12" fillId="33" borderId="48" xfId="0" applyFont="1" applyFill="1" applyBorder="1" applyAlignment="1">
      <alignment wrapText="1"/>
    </xf>
    <xf numFmtId="0" fontId="13" fillId="33" borderId="0" xfId="0" applyFont="1" applyFill="1" applyAlignment="1">
      <alignment/>
    </xf>
    <xf numFmtId="0" fontId="18" fillId="33" borderId="0" xfId="0" applyFont="1" applyFill="1" applyAlignment="1">
      <alignment/>
    </xf>
    <xf numFmtId="0" fontId="2" fillId="34" borderId="30" xfId="0" applyFont="1" applyFill="1" applyBorder="1" applyAlignment="1">
      <alignment horizontal="justify" vertical="top" wrapText="1"/>
    </xf>
    <xf numFmtId="0" fontId="2" fillId="34" borderId="31" xfId="0" applyFont="1" applyFill="1" applyBorder="1" applyAlignment="1">
      <alignment horizontal="justify" vertical="top" wrapText="1"/>
    </xf>
    <xf numFmtId="0" fontId="2" fillId="34" borderId="42" xfId="0" applyFont="1" applyFill="1" applyBorder="1" applyAlignment="1">
      <alignment horizontal="left" vertical="top" wrapText="1"/>
    </xf>
    <xf numFmtId="0" fontId="11" fillId="34" borderId="50" xfId="53" applyNumberFormat="1" applyFont="1" applyFill="1" applyBorder="1" applyAlignment="1" applyProtection="1">
      <alignment horizontal="justify" vertical="top" wrapText="1"/>
      <protection/>
    </xf>
    <xf numFmtId="0" fontId="4" fillId="35" borderId="45" xfId="57" applyFont="1" applyFill="1" applyBorder="1">
      <alignment/>
      <protection/>
    </xf>
    <xf numFmtId="0" fontId="4" fillId="35" borderId="45" xfId="57" applyFont="1" applyFill="1" applyBorder="1" applyAlignment="1">
      <alignment horizontal="center"/>
      <protection/>
    </xf>
    <xf numFmtId="0" fontId="4" fillId="35" borderId="45" xfId="0" applyFont="1" applyFill="1" applyBorder="1" applyAlignment="1">
      <alignment/>
    </xf>
    <xf numFmtId="0" fontId="4" fillId="37" borderId="51" xfId="57" applyFont="1" applyFill="1" applyBorder="1" applyAlignment="1" applyProtection="1">
      <alignment horizontal="center"/>
      <protection locked="0"/>
    </xf>
    <xf numFmtId="0" fontId="4" fillId="35" borderId="52" xfId="57" applyFont="1" applyFill="1" applyBorder="1">
      <alignment/>
      <protection/>
    </xf>
    <xf numFmtId="0" fontId="4" fillId="35" borderId="52" xfId="0" applyFont="1" applyFill="1" applyBorder="1" applyAlignment="1">
      <alignment/>
    </xf>
    <xf numFmtId="0" fontId="4" fillId="35" borderId="45" xfId="0" applyFont="1" applyFill="1" applyBorder="1" applyAlignment="1">
      <alignment horizontal="center"/>
    </xf>
    <xf numFmtId="0" fontId="4" fillId="37" borderId="51" xfId="0" applyFont="1" applyFill="1" applyBorder="1" applyAlignment="1" applyProtection="1">
      <alignment horizontal="center"/>
      <protection locked="0"/>
    </xf>
    <xf numFmtId="0" fontId="22" fillId="33" borderId="0" xfId="0" applyFont="1" applyFill="1" applyAlignment="1">
      <alignment/>
    </xf>
    <xf numFmtId="0" fontId="23" fillId="34" borderId="34" xfId="0" applyFont="1" applyFill="1" applyBorder="1" applyAlignment="1">
      <alignment/>
    </xf>
    <xf numFmtId="0" fontId="2" fillId="34" borderId="42" xfId="0" applyFont="1" applyFill="1" applyBorder="1" applyAlignment="1">
      <alignment horizontal="justify" vertical="top"/>
    </xf>
    <xf numFmtId="49" fontId="2" fillId="38" borderId="42" xfId="0" applyNumberFormat="1" applyFont="1" applyFill="1" applyBorder="1" applyAlignment="1">
      <alignment horizontal="left" vertical="top" wrapText="1"/>
    </xf>
    <xf numFmtId="0" fontId="12" fillId="34" borderId="50" xfId="53" applyNumberFormat="1" applyFont="1" applyFill="1" applyBorder="1" applyAlignment="1" applyProtection="1">
      <alignment horizontal="justify" vertical="top" wrapText="1"/>
      <protection/>
    </xf>
    <xf numFmtId="0" fontId="2" fillId="34" borderId="34" xfId="0" applyFont="1" applyFill="1" applyBorder="1" applyAlignment="1">
      <alignment horizontal="justify" vertical="top" wrapText="1"/>
    </xf>
    <xf numFmtId="3" fontId="4" fillId="37" borderId="53" xfId="0" applyNumberFormat="1" applyFont="1" applyFill="1" applyBorder="1" applyAlignment="1" applyProtection="1">
      <alignment/>
      <protection locked="0"/>
    </xf>
    <xf numFmtId="0" fontId="4" fillId="33" borderId="11" xfId="0" applyFont="1" applyFill="1" applyBorder="1" applyAlignment="1" applyProtection="1">
      <alignment horizontal="left" vertical="top"/>
      <protection locked="0"/>
    </xf>
    <xf numFmtId="0" fontId="4" fillId="33" borderId="12" xfId="0" applyFont="1" applyFill="1" applyBorder="1" applyAlignment="1" applyProtection="1">
      <alignment horizontal="left" vertical="top"/>
      <protection locked="0"/>
    </xf>
    <xf numFmtId="0" fontId="4" fillId="33" borderId="13" xfId="0" applyFont="1" applyFill="1" applyBorder="1" applyAlignment="1" applyProtection="1">
      <alignment horizontal="left" vertical="top"/>
      <protection locked="0"/>
    </xf>
    <xf numFmtId="0" fontId="4" fillId="33" borderId="54" xfId="0" applyFont="1" applyFill="1" applyBorder="1" applyAlignment="1" applyProtection="1">
      <alignment horizontal="left" vertical="top"/>
      <protection locked="0"/>
    </xf>
    <xf numFmtId="0" fontId="4" fillId="33" borderId="14" xfId="0" applyFont="1" applyFill="1" applyBorder="1" applyAlignment="1" applyProtection="1">
      <alignment horizontal="left" vertical="top"/>
      <protection locked="0"/>
    </xf>
    <xf numFmtId="0" fontId="4" fillId="33" borderId="15" xfId="0" applyFont="1" applyFill="1" applyBorder="1" applyAlignment="1" applyProtection="1">
      <alignment horizontal="left" vertical="top"/>
      <protection locked="0"/>
    </xf>
    <xf numFmtId="0" fontId="25" fillId="33" borderId="0" xfId="0" applyFont="1" applyFill="1" applyAlignment="1">
      <alignment/>
    </xf>
    <xf numFmtId="0" fontId="23" fillId="0" borderId="49" xfId="0" applyFont="1" applyFill="1" applyBorder="1" applyAlignment="1">
      <alignment wrapText="1"/>
    </xf>
    <xf numFmtId="0" fontId="4" fillId="35" borderId="47" xfId="0" applyFont="1" applyFill="1" applyBorder="1" applyAlignment="1" applyProtection="1">
      <alignment/>
      <protection/>
    </xf>
    <xf numFmtId="0" fontId="0" fillId="39" borderId="0" xfId="0" applyFill="1" applyAlignment="1">
      <alignment/>
    </xf>
    <xf numFmtId="0" fontId="0" fillId="39" borderId="0" xfId="0" applyFill="1" applyAlignment="1">
      <alignment/>
    </xf>
    <xf numFmtId="0" fontId="8" fillId="39" borderId="0" xfId="0" applyFont="1" applyFill="1" applyAlignment="1">
      <alignment horizontal="justify" vertical="top"/>
    </xf>
    <xf numFmtId="0" fontId="8" fillId="39" borderId="0" xfId="0" applyFont="1" applyFill="1" applyAlignment="1">
      <alignment horizontal="justify"/>
    </xf>
    <xf numFmtId="0" fontId="4" fillId="40" borderId="50" xfId="0" applyFont="1" applyFill="1" applyBorder="1" applyAlignment="1">
      <alignment wrapText="1"/>
    </xf>
    <xf numFmtId="0" fontId="20" fillId="39" borderId="0" xfId="0" applyFont="1" applyFill="1" applyBorder="1" applyAlignment="1">
      <alignment/>
    </xf>
    <xf numFmtId="0" fontId="0" fillId="39" borderId="0" xfId="0" applyFill="1" applyBorder="1" applyAlignment="1">
      <alignment/>
    </xf>
    <xf numFmtId="0" fontId="4" fillId="35" borderId="55" xfId="0" applyFont="1" applyFill="1" applyBorder="1" applyAlignment="1">
      <alignment/>
    </xf>
    <xf numFmtId="173" fontId="4" fillId="36" borderId="0" xfId="0" applyNumberFormat="1" applyFont="1" applyFill="1" applyBorder="1" applyAlignment="1">
      <alignment horizontal="center"/>
    </xf>
    <xf numFmtId="0" fontId="2" fillId="35" borderId="49" xfId="0" applyFont="1" applyFill="1" applyBorder="1" applyAlignment="1">
      <alignment horizontal="center" wrapText="1"/>
    </xf>
    <xf numFmtId="0" fontId="4" fillId="41" borderId="29" xfId="0" applyFont="1" applyFill="1" applyBorder="1" applyAlignment="1">
      <alignment/>
    </xf>
    <xf numFmtId="0" fontId="4" fillId="41" borderId="30" xfId="0" applyFont="1" applyFill="1" applyBorder="1" applyAlignment="1">
      <alignment/>
    </xf>
    <xf numFmtId="0" fontId="4" fillId="41" borderId="31" xfId="0" applyFont="1" applyFill="1" applyBorder="1" applyAlignment="1">
      <alignment/>
    </xf>
    <xf numFmtId="0" fontId="4" fillId="41" borderId="34" xfId="0" applyFont="1" applyFill="1" applyBorder="1" applyAlignment="1">
      <alignment/>
    </xf>
    <xf numFmtId="173" fontId="4" fillId="41" borderId="0" xfId="0" applyNumberFormat="1" applyFont="1" applyFill="1" applyBorder="1" applyAlignment="1">
      <alignment horizontal="center"/>
    </xf>
    <xf numFmtId="0" fontId="4" fillId="41" borderId="0" xfId="0" applyFont="1" applyFill="1" applyBorder="1" applyAlignment="1">
      <alignment/>
    </xf>
    <xf numFmtId="0" fontId="4" fillId="41" borderId="33" xfId="0" applyFont="1" applyFill="1" applyBorder="1" applyAlignment="1">
      <alignment/>
    </xf>
    <xf numFmtId="0" fontId="4" fillId="39" borderId="0" xfId="0" applyFont="1" applyFill="1" applyAlignment="1">
      <alignment/>
    </xf>
    <xf numFmtId="0" fontId="4" fillId="39" borderId="0" xfId="0" applyFont="1" applyFill="1" applyAlignment="1">
      <alignment/>
    </xf>
    <xf numFmtId="0" fontId="4" fillId="39" borderId="0" xfId="0" applyFont="1" applyFill="1" applyBorder="1" applyAlignment="1" applyProtection="1">
      <alignment/>
      <protection locked="0"/>
    </xf>
    <xf numFmtId="0" fontId="9" fillId="39" borderId="0" xfId="0" applyFont="1" applyFill="1" applyBorder="1" applyAlignment="1">
      <alignment horizontal="left"/>
    </xf>
    <xf numFmtId="0" fontId="27" fillId="39" borderId="0" xfId="53" applyFont="1" applyFill="1" applyAlignment="1" applyProtection="1">
      <alignment vertical="top"/>
      <protection/>
    </xf>
    <xf numFmtId="0" fontId="4" fillId="33" borderId="0" xfId="0" applyFont="1" applyFill="1" applyAlignment="1">
      <alignment horizontal="left" wrapText="1"/>
    </xf>
    <xf numFmtId="0" fontId="2" fillId="34" borderId="27" xfId="0" applyFont="1" applyFill="1" applyBorder="1" applyAlignment="1">
      <alignment wrapText="1"/>
    </xf>
    <xf numFmtId="0" fontId="4" fillId="35" borderId="55" xfId="0" applyFont="1" applyFill="1" applyBorder="1" applyAlignment="1">
      <alignment/>
    </xf>
    <xf numFmtId="0" fontId="4" fillId="35" borderId="56" xfId="0" applyFont="1" applyFill="1" applyBorder="1" applyAlignment="1">
      <alignment/>
    </xf>
    <xf numFmtId="3" fontId="72" fillId="35" borderId="55" xfId="0" applyNumberFormat="1" applyFont="1" applyFill="1" applyBorder="1" applyAlignment="1">
      <alignment horizontal="center"/>
    </xf>
    <xf numFmtId="3" fontId="72" fillId="35" borderId="56" xfId="0" applyNumberFormat="1" applyFont="1" applyFill="1" applyBorder="1" applyAlignment="1">
      <alignment horizontal="center"/>
    </xf>
    <xf numFmtId="173" fontId="4" fillId="33" borderId="57" xfId="0" applyNumberFormat="1" applyFont="1" applyFill="1" applyBorder="1" applyAlignment="1">
      <alignment horizontal="center"/>
    </xf>
    <xf numFmtId="173" fontId="4" fillId="33" borderId="58" xfId="0" applyNumberFormat="1" applyFont="1" applyFill="1" applyBorder="1" applyAlignment="1">
      <alignment horizontal="center"/>
    </xf>
    <xf numFmtId="173" fontId="4" fillId="33" borderId="59" xfId="0" applyNumberFormat="1" applyFont="1" applyFill="1" applyBorder="1" applyAlignment="1">
      <alignment horizontal="center"/>
    </xf>
    <xf numFmtId="3" fontId="4" fillId="37" borderId="53" xfId="42" applyNumberFormat="1" applyFont="1" applyFill="1" applyBorder="1" applyAlignment="1" applyProtection="1">
      <alignment/>
      <protection locked="0"/>
    </xf>
    <xf numFmtId="0" fontId="4" fillId="37" borderId="60" xfId="57" applyFont="1" applyFill="1" applyBorder="1" applyAlignment="1" applyProtection="1">
      <alignment horizontal="center"/>
      <protection locked="0"/>
    </xf>
    <xf numFmtId="0" fontId="4" fillId="35" borderId="61" xfId="57" applyFont="1" applyFill="1" applyBorder="1">
      <alignment/>
      <protection/>
    </xf>
    <xf numFmtId="0" fontId="4" fillId="35" borderId="61" xfId="57" applyFont="1" applyFill="1" applyBorder="1" applyAlignment="1">
      <alignment horizontal="center"/>
      <protection/>
    </xf>
    <xf numFmtId="0" fontId="4" fillId="35" borderId="62" xfId="57" applyFont="1" applyFill="1" applyBorder="1">
      <alignment/>
      <protection/>
    </xf>
    <xf numFmtId="0" fontId="4" fillId="37" borderId="63" xfId="0" applyFont="1" applyFill="1" applyBorder="1" applyAlignment="1" applyProtection="1">
      <alignment horizontal="center"/>
      <protection locked="0"/>
    </xf>
    <xf numFmtId="0" fontId="4" fillId="35" borderId="64" xfId="0" applyFont="1" applyFill="1" applyBorder="1" applyAlignment="1">
      <alignment/>
    </xf>
    <xf numFmtId="0" fontId="4" fillId="35" borderId="64" xfId="0" applyFont="1" applyFill="1" applyBorder="1" applyAlignment="1">
      <alignment horizontal="center"/>
    </xf>
    <xf numFmtId="0" fontId="4" fillId="35" borderId="65" xfId="0" applyFont="1" applyFill="1" applyBorder="1" applyAlignment="1">
      <alignment/>
    </xf>
    <xf numFmtId="0" fontId="4" fillId="35" borderId="27" xfId="0" applyFont="1" applyFill="1" applyBorder="1" applyAlignment="1">
      <alignment/>
    </xf>
    <xf numFmtId="0" fontId="4" fillId="35" borderId="27" xfId="0" applyFont="1" applyFill="1" applyBorder="1" applyAlignment="1">
      <alignment/>
    </xf>
    <xf numFmtId="0" fontId="4" fillId="35" borderId="32" xfId="0" applyFont="1" applyFill="1" applyBorder="1" applyAlignment="1">
      <alignment/>
    </xf>
    <xf numFmtId="0" fontId="2" fillId="33" borderId="28" xfId="0" applyFont="1" applyFill="1" applyBorder="1" applyAlignment="1">
      <alignment/>
    </xf>
    <xf numFmtId="173" fontId="4" fillId="35" borderId="24" xfId="0" applyNumberFormat="1" applyFont="1" applyFill="1" applyBorder="1" applyAlignment="1">
      <alignment horizontal="center"/>
    </xf>
    <xf numFmtId="173" fontId="4" fillId="35" borderId="44" xfId="0" applyNumberFormat="1" applyFont="1" applyFill="1" applyBorder="1" applyAlignment="1">
      <alignment horizontal="center"/>
    </xf>
    <xf numFmtId="0" fontId="4" fillId="33" borderId="66" xfId="0" applyFont="1" applyFill="1" applyBorder="1" applyAlignment="1">
      <alignment horizontal="center"/>
    </xf>
    <xf numFmtId="173" fontId="4" fillId="33" borderId="24" xfId="0" applyNumberFormat="1" applyFont="1" applyFill="1" applyBorder="1" applyAlignment="1">
      <alignment horizontal="center"/>
    </xf>
    <xf numFmtId="173" fontId="4" fillId="33" borderId="44" xfId="0" applyNumberFormat="1" applyFont="1" applyFill="1" applyBorder="1" applyAlignment="1">
      <alignment horizontal="center"/>
    </xf>
    <xf numFmtId="49" fontId="4" fillId="35" borderId="55" xfId="0" applyNumberFormat="1" applyFont="1" applyFill="1" applyBorder="1" applyAlignment="1">
      <alignment horizontal="center"/>
    </xf>
    <xf numFmtId="49" fontId="4" fillId="35" borderId="56" xfId="0" applyNumberFormat="1" applyFont="1" applyFill="1" applyBorder="1" applyAlignment="1">
      <alignment horizontal="center"/>
    </xf>
    <xf numFmtId="49" fontId="4" fillId="33" borderId="67" xfId="0" applyNumberFormat="1" applyFont="1" applyFill="1" applyBorder="1" applyAlignment="1">
      <alignment horizontal="center"/>
    </xf>
    <xf numFmtId="49" fontId="4" fillId="33" borderId="55" xfId="0" applyNumberFormat="1" applyFont="1" applyFill="1" applyBorder="1" applyAlignment="1">
      <alignment horizontal="center"/>
    </xf>
    <xf numFmtId="49" fontId="4" fillId="33" borderId="56" xfId="0" applyNumberFormat="1" applyFont="1" applyFill="1" applyBorder="1" applyAlignment="1">
      <alignment horizontal="center"/>
    </xf>
    <xf numFmtId="0" fontId="8" fillId="33" borderId="0" xfId="0" applyFont="1" applyFill="1" applyAlignment="1">
      <alignment/>
    </xf>
    <xf numFmtId="0" fontId="73" fillId="39" borderId="0" xfId="0" applyFont="1" applyFill="1" applyAlignment="1">
      <alignment/>
    </xf>
    <xf numFmtId="49" fontId="8" fillId="33" borderId="0" xfId="0" applyNumberFormat="1" applyFont="1" applyFill="1" applyAlignment="1">
      <alignment horizontal="center"/>
    </xf>
    <xf numFmtId="0" fontId="4" fillId="35" borderId="36" xfId="0" applyFont="1" applyFill="1" applyBorder="1" applyAlignment="1">
      <alignment/>
    </xf>
    <xf numFmtId="0" fontId="15" fillId="33" borderId="33" xfId="0" applyFont="1" applyFill="1" applyBorder="1" applyAlignment="1">
      <alignment wrapText="1"/>
    </xf>
    <xf numFmtId="0" fontId="4" fillId="33" borderId="12" xfId="0" applyFont="1" applyFill="1" applyBorder="1" applyAlignment="1">
      <alignment wrapText="1"/>
    </xf>
    <xf numFmtId="0" fontId="4" fillId="33" borderId="23" xfId="0" applyFont="1" applyFill="1" applyBorder="1" applyAlignment="1">
      <alignment wrapText="1"/>
    </xf>
    <xf numFmtId="0" fontId="4" fillId="39" borderId="67" xfId="0" applyFont="1" applyFill="1" applyBorder="1" applyAlignment="1" applyProtection="1">
      <alignment horizontal="left" vertical="top" wrapText="1"/>
      <protection locked="0"/>
    </xf>
    <xf numFmtId="0" fontId="11" fillId="39" borderId="55" xfId="53" applyFont="1" applyFill="1" applyBorder="1" applyAlignment="1" applyProtection="1">
      <alignment horizontal="left" wrapText="1"/>
      <protection locked="0"/>
    </xf>
    <xf numFmtId="0" fontId="4" fillId="39" borderId="55" xfId="0" applyFont="1" applyFill="1" applyBorder="1" applyAlignment="1" applyProtection="1">
      <alignment horizontal="left" wrapText="1"/>
      <protection locked="0"/>
    </xf>
    <xf numFmtId="0" fontId="11" fillId="39" borderId="55" xfId="53" applyFont="1" applyFill="1" applyBorder="1" applyAlignment="1" applyProtection="1">
      <alignment/>
      <protection locked="0"/>
    </xf>
    <xf numFmtId="0" fontId="4" fillId="39" borderId="55" xfId="0" applyFont="1" applyFill="1" applyBorder="1" applyAlignment="1" applyProtection="1">
      <alignment wrapText="1"/>
      <protection locked="0"/>
    </xf>
    <xf numFmtId="0" fontId="11" fillId="39" borderId="55" xfId="53" applyFont="1" applyFill="1" applyBorder="1" applyAlignment="1" applyProtection="1">
      <alignment wrapText="1"/>
      <protection locked="0"/>
    </xf>
    <xf numFmtId="0" fontId="4" fillId="39" borderId="56" xfId="0" applyFont="1" applyFill="1" applyBorder="1" applyAlignment="1" applyProtection="1">
      <alignment/>
      <protection locked="0"/>
    </xf>
    <xf numFmtId="0" fontId="4" fillId="33" borderId="0" xfId="0" applyFont="1" applyFill="1" applyBorder="1" applyAlignment="1">
      <alignment horizontal="left"/>
    </xf>
    <xf numFmtId="0" fontId="2" fillId="33" borderId="0" xfId="0" applyFont="1" applyFill="1" applyBorder="1" applyAlignment="1">
      <alignment horizontal="center"/>
    </xf>
    <xf numFmtId="0" fontId="74" fillId="39" borderId="0" xfId="0" applyFont="1" applyFill="1" applyAlignment="1">
      <alignment/>
    </xf>
    <xf numFmtId="0" fontId="74" fillId="33" borderId="0" xfId="0" applyFont="1" applyFill="1" applyAlignment="1">
      <alignment/>
    </xf>
    <xf numFmtId="0" fontId="28" fillId="36" borderId="29" xfId="0" applyFont="1" applyFill="1" applyBorder="1" applyAlignment="1">
      <alignment/>
    </xf>
    <xf numFmtId="0" fontId="2" fillId="35" borderId="43"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4" fillId="42" borderId="67" xfId="0" applyFont="1" applyFill="1" applyBorder="1" applyAlignment="1">
      <alignment wrapText="1"/>
    </xf>
    <xf numFmtId="0" fontId="4" fillId="42" borderId="55" xfId="0" applyNumberFormat="1" applyFont="1" applyFill="1" applyBorder="1" applyAlignment="1">
      <alignment wrapText="1"/>
    </xf>
    <xf numFmtId="0" fontId="4" fillId="42" borderId="56" xfId="0" applyFont="1" applyFill="1" applyBorder="1" applyAlignment="1">
      <alignment wrapText="1"/>
    </xf>
    <xf numFmtId="0" fontId="75" fillId="39" borderId="0" xfId="0" applyFont="1" applyFill="1" applyAlignment="1">
      <alignment/>
    </xf>
    <xf numFmtId="0" fontId="32" fillId="39" borderId="0" xfId="53" applyFont="1" applyFill="1" applyAlignment="1" applyProtection="1">
      <alignment vertical="top"/>
      <protection/>
    </xf>
    <xf numFmtId="0" fontId="75" fillId="33" borderId="0" xfId="0" applyFont="1" applyFill="1" applyAlignment="1">
      <alignment/>
    </xf>
    <xf numFmtId="0" fontId="2" fillId="34" borderId="28" xfId="0" applyFont="1" applyFill="1" applyBorder="1" applyAlignment="1">
      <alignment horizontal="left" vertical="top" wrapText="1"/>
    </xf>
    <xf numFmtId="0" fontId="2" fillId="34" borderId="27" xfId="0" applyFont="1" applyFill="1" applyBorder="1" applyAlignment="1">
      <alignment horizontal="left" vertical="top" wrapText="1"/>
    </xf>
    <xf numFmtId="0" fontId="9" fillId="33" borderId="48" xfId="0" applyFont="1" applyFill="1" applyBorder="1" applyAlignment="1">
      <alignment horizontal="center"/>
    </xf>
    <xf numFmtId="0" fontId="2" fillId="33" borderId="0" xfId="0" applyFont="1" applyFill="1" applyAlignment="1">
      <alignment horizontal="left"/>
    </xf>
    <xf numFmtId="0" fontId="12" fillId="34" borderId="28" xfId="0" applyNumberFormat="1" applyFont="1" applyFill="1" applyBorder="1" applyAlignment="1">
      <alignment horizontal="left" vertical="top" wrapText="1"/>
    </xf>
    <xf numFmtId="0" fontId="0" fillId="34" borderId="30" xfId="0" applyFill="1" applyBorder="1" applyAlignment="1">
      <alignment horizontal="left" vertical="top" wrapText="1"/>
    </xf>
    <xf numFmtId="0" fontId="19" fillId="43" borderId="42" xfId="0" applyFont="1" applyFill="1" applyBorder="1" applyAlignment="1">
      <alignment horizontal="center" vertical="center"/>
    </xf>
    <xf numFmtId="0" fontId="19" fillId="43" borderId="48" xfId="0" applyFont="1" applyFill="1" applyBorder="1" applyAlignment="1">
      <alignment horizontal="center" vertical="center"/>
    </xf>
    <xf numFmtId="0" fontId="19" fillId="43" borderId="50" xfId="0" applyFont="1" applyFill="1" applyBorder="1" applyAlignment="1">
      <alignment horizontal="center" vertical="center"/>
    </xf>
    <xf numFmtId="0" fontId="7" fillId="33" borderId="0" xfId="0" applyFont="1" applyFill="1" applyAlignment="1">
      <alignment horizontal="left" wrapText="1"/>
    </xf>
    <xf numFmtId="0" fontId="4" fillId="35" borderId="68" xfId="0" applyFont="1" applyFill="1" applyBorder="1" applyAlignment="1">
      <alignment horizontal="center"/>
    </xf>
    <xf numFmtId="0" fontId="4" fillId="35" borderId="69" xfId="0" applyFont="1" applyFill="1" applyBorder="1" applyAlignment="1">
      <alignment horizontal="center"/>
    </xf>
    <xf numFmtId="0" fontId="4" fillId="35" borderId="53" xfId="0" applyFont="1" applyFill="1" applyBorder="1" applyAlignment="1">
      <alignment horizontal="center"/>
    </xf>
    <xf numFmtId="0" fontId="4" fillId="35" borderId="47" xfId="0" applyFont="1" applyFill="1" applyBorder="1" applyAlignment="1">
      <alignment horizontal="center"/>
    </xf>
    <xf numFmtId="49" fontId="15" fillId="34" borderId="35" xfId="0" applyNumberFormat="1" applyFont="1" applyFill="1" applyBorder="1" applyAlignment="1">
      <alignment horizontal="left" wrapText="1"/>
    </xf>
    <xf numFmtId="49" fontId="12" fillId="34" borderId="70" xfId="0" applyNumberFormat="1" applyFont="1" applyFill="1" applyBorder="1" applyAlignment="1">
      <alignment horizontal="left" wrapText="1"/>
    </xf>
    <xf numFmtId="49" fontId="12" fillId="34" borderId="69" xfId="0" applyNumberFormat="1" applyFont="1" applyFill="1" applyBorder="1" applyAlignment="1">
      <alignment horizontal="left" wrapText="1"/>
    </xf>
    <xf numFmtId="49" fontId="12" fillId="34" borderId="51" xfId="0" applyNumberFormat="1" applyFont="1" applyFill="1" applyBorder="1" applyAlignment="1">
      <alignment horizontal="left" wrapText="1"/>
    </xf>
    <xf numFmtId="49" fontId="12" fillId="34" borderId="45" xfId="0" applyNumberFormat="1" applyFont="1" applyFill="1" applyBorder="1" applyAlignment="1">
      <alignment horizontal="left" wrapText="1"/>
    </xf>
    <xf numFmtId="49" fontId="12" fillId="34" borderId="52" xfId="0" applyNumberFormat="1" applyFont="1" applyFill="1" applyBorder="1" applyAlignment="1">
      <alignment horizontal="left" wrapText="1"/>
    </xf>
    <xf numFmtId="0" fontId="12" fillId="34" borderId="51" xfId="0" applyFont="1" applyFill="1" applyBorder="1" applyAlignment="1">
      <alignment horizontal="left" wrapText="1"/>
    </xf>
    <xf numFmtId="0" fontId="12" fillId="34" borderId="45" xfId="0" applyFont="1" applyFill="1" applyBorder="1" applyAlignment="1">
      <alignment horizontal="left" wrapText="1"/>
    </xf>
    <xf numFmtId="0" fontId="12" fillId="34" borderId="52" xfId="0" applyFont="1" applyFill="1" applyBorder="1" applyAlignment="1">
      <alignment horizontal="left" wrapText="1"/>
    </xf>
    <xf numFmtId="0" fontId="30" fillId="38" borderId="63" xfId="0" applyFont="1" applyFill="1" applyBorder="1" applyAlignment="1">
      <alignment/>
    </xf>
    <xf numFmtId="0" fontId="76" fillId="38" borderId="64" xfId="0" applyFont="1" applyFill="1" applyBorder="1" applyAlignment="1">
      <alignment/>
    </xf>
    <xf numFmtId="0" fontId="76" fillId="38" borderId="65" xfId="0" applyFont="1" applyFill="1" applyBorder="1" applyAlignment="1">
      <alignment/>
    </xf>
    <xf numFmtId="0" fontId="2" fillId="0" borderId="0" xfId="0" applyFont="1" applyAlignment="1">
      <alignment horizontal="left"/>
    </xf>
    <xf numFmtId="0" fontId="4" fillId="35" borderId="53" xfId="0" applyFont="1" applyFill="1" applyBorder="1" applyAlignment="1" applyProtection="1">
      <alignment horizontal="center"/>
      <protection locked="0"/>
    </xf>
    <xf numFmtId="0" fontId="4" fillId="35" borderId="47" xfId="0" applyFont="1" applyFill="1" applyBorder="1" applyAlignment="1" applyProtection="1">
      <alignment horizontal="center"/>
      <protection locked="0"/>
    </xf>
    <xf numFmtId="0" fontId="9" fillId="35" borderId="67" xfId="0" applyFont="1" applyFill="1" applyBorder="1" applyAlignment="1">
      <alignment horizontal="center"/>
    </xf>
    <xf numFmtId="0" fontId="9" fillId="35" borderId="56" xfId="0" applyFont="1" applyFill="1" applyBorder="1" applyAlignment="1">
      <alignment horizontal="center"/>
    </xf>
    <xf numFmtId="0" fontId="9" fillId="2" borderId="42" xfId="0" applyFont="1" applyFill="1" applyBorder="1" applyAlignment="1">
      <alignment horizontal="center"/>
    </xf>
    <xf numFmtId="0" fontId="9" fillId="2" borderId="48" xfId="0" applyFont="1" applyFill="1" applyBorder="1" applyAlignment="1">
      <alignment horizontal="center"/>
    </xf>
    <xf numFmtId="0" fontId="9" fillId="2" borderId="50" xfId="0" applyFont="1" applyFill="1" applyBorder="1" applyAlignment="1">
      <alignment horizontal="center"/>
    </xf>
    <xf numFmtId="0" fontId="4" fillId="35" borderId="71" xfId="0" applyFont="1" applyFill="1" applyBorder="1" applyAlignment="1">
      <alignment horizontal="center"/>
    </xf>
    <xf numFmtId="0" fontId="4" fillId="35" borderId="72" xfId="0" applyFont="1" applyFill="1" applyBorder="1" applyAlignment="1">
      <alignment horizontal="center"/>
    </xf>
    <xf numFmtId="0" fontId="4" fillId="33" borderId="0" xfId="0" applyFont="1" applyFill="1" applyBorder="1" applyAlignment="1">
      <alignment horizontal="left" wrapText="1"/>
    </xf>
    <xf numFmtId="0" fontId="4" fillId="33" borderId="0" xfId="0" applyFont="1" applyFill="1" applyAlignment="1">
      <alignment horizontal="left" wrapText="1"/>
    </xf>
    <xf numFmtId="0" fontId="4" fillId="34" borderId="42" xfId="0" applyFont="1" applyFill="1" applyBorder="1" applyAlignment="1">
      <alignment horizontal="left" wrapText="1"/>
    </xf>
    <xf numFmtId="0" fontId="4" fillId="34" borderId="48" xfId="0" applyFont="1" applyFill="1" applyBorder="1" applyAlignment="1">
      <alignment horizontal="left" wrapText="1"/>
    </xf>
    <xf numFmtId="0" fontId="4" fillId="34" borderId="50" xfId="0" applyFont="1" applyFill="1" applyBorder="1" applyAlignment="1">
      <alignment horizontal="left" wrapText="1"/>
    </xf>
    <xf numFmtId="0" fontId="9" fillId="35" borderId="28" xfId="0" applyFont="1" applyFill="1" applyBorder="1" applyAlignment="1">
      <alignment horizontal="center" vertical="center" wrapText="1"/>
    </xf>
    <xf numFmtId="0" fontId="9" fillId="35" borderId="32" xfId="0" applyFont="1" applyFill="1" applyBorder="1" applyAlignment="1">
      <alignment horizontal="center" vertical="center" wrapText="1"/>
    </xf>
    <xf numFmtId="49" fontId="9" fillId="35" borderId="67" xfId="0" applyNumberFormat="1" applyFont="1" applyFill="1" applyBorder="1" applyAlignment="1">
      <alignment horizontal="center" vertical="center"/>
    </xf>
    <xf numFmtId="49" fontId="9" fillId="35" borderId="56" xfId="0" applyNumberFormat="1" applyFont="1" applyFill="1" applyBorder="1" applyAlignment="1">
      <alignment horizontal="center" vertical="center"/>
    </xf>
    <xf numFmtId="0" fontId="9" fillId="2" borderId="48" xfId="0" applyFont="1" applyFill="1" applyBorder="1" applyAlignment="1">
      <alignment horizontal="center" vertical="center"/>
    </xf>
    <xf numFmtId="0" fontId="9" fillId="2" borderId="50" xfId="0" applyFont="1" applyFill="1" applyBorder="1" applyAlignment="1">
      <alignment horizontal="center" vertical="center"/>
    </xf>
    <xf numFmtId="0" fontId="2" fillId="33" borderId="57" xfId="0" applyFont="1" applyFill="1" applyBorder="1" applyAlignment="1">
      <alignment horizontal="left"/>
    </xf>
    <xf numFmtId="0" fontId="2" fillId="33" borderId="66" xfId="0" applyFont="1" applyFill="1" applyBorder="1" applyAlignment="1">
      <alignment horizontal="left"/>
    </xf>
    <xf numFmtId="0" fontId="4" fillId="33" borderId="23"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26" xfId="0" applyFont="1" applyFill="1" applyBorder="1" applyAlignment="1" applyProtection="1">
      <alignment horizontal="left" vertical="top"/>
      <protection locked="0"/>
    </xf>
    <xf numFmtId="0" fontId="4" fillId="33" borderId="24" xfId="0" applyFont="1" applyFill="1" applyBorder="1" applyAlignment="1" applyProtection="1">
      <alignment horizontal="left" vertical="top"/>
      <protection locked="0"/>
    </xf>
    <xf numFmtId="0" fontId="2" fillId="33" borderId="57" xfId="0" applyFont="1" applyFill="1" applyBorder="1" applyAlignment="1">
      <alignment/>
    </xf>
    <xf numFmtId="0" fontId="2" fillId="33" borderId="66" xfId="0" applyFont="1" applyFill="1" applyBorder="1" applyAlignment="1">
      <alignment/>
    </xf>
    <xf numFmtId="0" fontId="4" fillId="33" borderId="26" xfId="0" applyFont="1" applyFill="1" applyBorder="1" applyAlignment="1" applyProtection="1">
      <alignment horizontal="left" vertical="top"/>
      <protection locked="0"/>
    </xf>
    <xf numFmtId="0" fontId="4" fillId="33" borderId="73" xfId="0" applyFont="1" applyFill="1" applyBorder="1" applyAlignment="1" applyProtection="1">
      <alignment horizontal="left" vertical="top"/>
      <protection locked="0"/>
    </xf>
    <xf numFmtId="0" fontId="4" fillId="33" borderId="44" xfId="0" applyFont="1" applyFill="1" applyBorder="1" applyAlignment="1" applyProtection="1">
      <alignment horizontal="left" vertical="top"/>
      <protection locked="0"/>
    </xf>
    <xf numFmtId="0" fontId="12" fillId="34" borderId="45" xfId="0" applyFont="1" applyFill="1" applyBorder="1" applyAlignment="1">
      <alignment horizontal="left" vertical="top" wrapText="1"/>
    </xf>
    <xf numFmtId="0" fontId="7" fillId="33" borderId="0" xfId="0" applyFont="1"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Output'!A1" /><Relationship Id="rId7" Type="http://schemas.openxmlformats.org/officeDocument/2006/relationships/hyperlink" Target="#Instructions!A1" /><Relationship Id="rId8" Type="http://schemas.openxmlformats.org/officeDocument/2006/relationships/hyperlink" Target="#References!A1"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Output'!A1" /><Relationship Id="rId7" Type="http://schemas.openxmlformats.org/officeDocument/2006/relationships/hyperlink" Target="#Instructions!A1" /><Relationship Id="rId8" Type="http://schemas.openxmlformats.org/officeDocument/2006/relationships/hyperlink" Target="#References!A1"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Output'!A1" /><Relationship Id="rId7" Type="http://schemas.openxmlformats.org/officeDocument/2006/relationships/hyperlink" Target="#Instructions!A1" /><Relationship Id="rId8" Type="http://schemas.openxmlformats.org/officeDocument/2006/relationships/hyperlink" Target="#References!A1"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Output'!A1" /><Relationship Id="rId7" Type="http://schemas.openxmlformats.org/officeDocument/2006/relationships/hyperlink" Target="#Instructions!A1" /><Relationship Id="rId8" Type="http://schemas.openxmlformats.org/officeDocument/2006/relationships/hyperlink" Target="#References!A1"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Output'!A1" /><Relationship Id="rId7" Type="http://schemas.openxmlformats.org/officeDocument/2006/relationships/hyperlink" Target="#Instructions!A1" /><Relationship Id="rId8" Type="http://schemas.openxmlformats.org/officeDocument/2006/relationships/hyperlink" Target="#Referenc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32</xdr:row>
      <xdr:rowOff>76200</xdr:rowOff>
    </xdr:from>
    <xdr:to>
      <xdr:col>3</xdr:col>
      <xdr:colOff>333375</xdr:colOff>
      <xdr:row>35</xdr:row>
      <xdr:rowOff>57150</xdr:rowOff>
    </xdr:to>
    <xdr:pic>
      <xdr:nvPicPr>
        <xdr:cNvPr id="1" name="Picture 11" descr="Toronto647.wmf"/>
        <xdr:cNvPicPr preferRelativeResize="1">
          <a:picLocks noChangeAspect="1"/>
        </xdr:cNvPicPr>
      </xdr:nvPicPr>
      <xdr:blipFill>
        <a:blip r:embed="rId1"/>
        <a:stretch>
          <a:fillRect/>
        </a:stretch>
      </xdr:blipFill>
      <xdr:spPr>
        <a:xfrm>
          <a:off x="1752600" y="9344025"/>
          <a:ext cx="1762125" cy="552450"/>
        </a:xfrm>
        <a:prstGeom prst="rect">
          <a:avLst/>
        </a:prstGeom>
        <a:noFill/>
        <a:ln w="9525" cmpd="sng">
          <a:noFill/>
        </a:ln>
      </xdr:spPr>
    </xdr:pic>
    <xdr:clientData/>
  </xdr:twoCellAnchor>
  <xdr:twoCellAnchor editAs="oneCell">
    <xdr:from>
      <xdr:col>3</xdr:col>
      <xdr:colOff>4095750</xdr:colOff>
      <xdr:row>32</xdr:row>
      <xdr:rowOff>123825</xdr:rowOff>
    </xdr:from>
    <xdr:to>
      <xdr:col>4</xdr:col>
      <xdr:colOff>57150</xdr:colOff>
      <xdr:row>34</xdr:row>
      <xdr:rowOff>152400</xdr:rowOff>
    </xdr:to>
    <xdr:pic>
      <xdr:nvPicPr>
        <xdr:cNvPr id="2" name="Picture 13" descr="livegreen_B.wmf"/>
        <xdr:cNvPicPr preferRelativeResize="1">
          <a:picLocks noChangeAspect="1"/>
        </xdr:cNvPicPr>
      </xdr:nvPicPr>
      <xdr:blipFill>
        <a:blip r:embed="rId2"/>
        <a:stretch>
          <a:fillRect/>
        </a:stretch>
      </xdr:blipFill>
      <xdr:spPr>
        <a:xfrm>
          <a:off x="7277100" y="9391650"/>
          <a:ext cx="1485900" cy="419100"/>
        </a:xfrm>
        <a:prstGeom prst="rect">
          <a:avLst/>
        </a:prstGeom>
        <a:noFill/>
        <a:ln w="9525" cmpd="sng">
          <a:noFill/>
        </a:ln>
      </xdr:spPr>
    </xdr:pic>
    <xdr:clientData/>
  </xdr:twoCellAnchor>
  <xdr:twoCellAnchor editAs="oneCell">
    <xdr:from>
      <xdr:col>2</xdr:col>
      <xdr:colOff>0</xdr:colOff>
      <xdr:row>0</xdr:row>
      <xdr:rowOff>0</xdr:rowOff>
    </xdr:from>
    <xdr:to>
      <xdr:col>3</xdr:col>
      <xdr:colOff>1057275</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43075" y="0"/>
          <a:ext cx="2495550" cy="561975"/>
        </a:xfrm>
        <a:prstGeom prst="rect">
          <a:avLst/>
        </a:prstGeom>
        <a:noFill/>
        <a:ln w="9525" cmpd="sng">
          <a:noFill/>
        </a:ln>
      </xdr:spPr>
    </xdr:pic>
    <xdr:clientData/>
  </xdr:twoCellAnchor>
  <xdr:twoCellAnchor>
    <xdr:from>
      <xdr:col>0</xdr:col>
      <xdr:colOff>590550</xdr:colOff>
      <xdr:row>12</xdr:row>
      <xdr:rowOff>180975</xdr:rowOff>
    </xdr:from>
    <xdr:to>
      <xdr:col>1</xdr:col>
      <xdr:colOff>1009650</xdr:colOff>
      <xdr:row>13</xdr:row>
      <xdr:rowOff>228600</xdr:rowOff>
    </xdr:to>
    <xdr:grpSp>
      <xdr:nvGrpSpPr>
        <xdr:cNvPr id="4" name="Group 964"/>
        <xdr:cNvGrpSpPr>
          <a:grpSpLocks/>
        </xdr:cNvGrpSpPr>
      </xdr:nvGrpSpPr>
      <xdr:grpSpPr>
        <a:xfrm>
          <a:off x="590550" y="3609975"/>
          <a:ext cx="1057275" cy="28575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9525</xdr:colOff>
      <xdr:row>11</xdr:row>
      <xdr:rowOff>38100</xdr:rowOff>
    </xdr:from>
    <xdr:to>
      <xdr:col>1</xdr:col>
      <xdr:colOff>952500</xdr:colOff>
      <xdr:row>12</xdr:row>
      <xdr:rowOff>85725</xdr:rowOff>
    </xdr:to>
    <xdr:grpSp>
      <xdr:nvGrpSpPr>
        <xdr:cNvPr id="7" name="Group 967"/>
        <xdr:cNvGrpSpPr>
          <a:grpSpLocks/>
        </xdr:cNvGrpSpPr>
      </xdr:nvGrpSpPr>
      <xdr:grpSpPr>
        <a:xfrm>
          <a:off x="647700" y="3238500"/>
          <a:ext cx="952500" cy="276225"/>
          <a:chOff x="54" y="297"/>
          <a:chExt cx="100" cy="30"/>
        </a:xfrm>
        <a:solidFill>
          <a:srgbClr val="FFFFFF"/>
        </a:solidFill>
      </xdr:grpSpPr>
      <xdr:sp>
        <xdr:nvSpPr>
          <xdr:cNvPr id="8" name="Rounded Rectangle 18"/>
          <xdr:cNvSpPr>
            <a:spLocks/>
          </xdr:cNvSpPr>
        </xdr:nvSpPr>
        <xdr:spPr>
          <a:xfrm>
            <a:off x="56" y="297"/>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2"/>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5</xdr:row>
      <xdr:rowOff>400050</xdr:rowOff>
    </xdr:from>
    <xdr:to>
      <xdr:col>1</xdr:col>
      <xdr:colOff>1047750</xdr:colOff>
      <xdr:row>6</xdr:row>
      <xdr:rowOff>171450</xdr:rowOff>
    </xdr:to>
    <xdr:grpSp>
      <xdr:nvGrpSpPr>
        <xdr:cNvPr id="10" name="Group 970"/>
        <xdr:cNvGrpSpPr>
          <a:grpSpLocks/>
        </xdr:cNvGrpSpPr>
      </xdr:nvGrpSpPr>
      <xdr:grpSpPr>
        <a:xfrm>
          <a:off x="638175" y="1838325"/>
          <a:ext cx="1047750" cy="409575"/>
          <a:chOff x="40" y="187"/>
          <a:chExt cx="110" cy="32"/>
        </a:xfrm>
        <a:solidFill>
          <a:srgbClr val="FFFFFF"/>
        </a:solidFill>
      </xdr:grpSpPr>
      <xdr:sp>
        <xdr:nvSpPr>
          <xdr:cNvPr id="11"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1">
            <a:hlinkClick r:id="rId6"/>
          </xdr:cNvPr>
          <xdr:cNvSpPr txBox="1">
            <a:spLocks noChangeArrowheads="1"/>
          </xdr:cNvSpPr>
        </xdr:nvSpPr>
        <xdr:spPr>
          <a:xfrm>
            <a:off x="42" y="192"/>
            <a:ext cx="108" cy="19"/>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5</xdr:row>
      <xdr:rowOff>28575</xdr:rowOff>
    </xdr:from>
    <xdr:to>
      <xdr:col>1</xdr:col>
      <xdr:colOff>1028700</xdr:colOff>
      <xdr:row>5</xdr:row>
      <xdr:rowOff>323850</xdr:rowOff>
    </xdr:to>
    <xdr:grpSp>
      <xdr:nvGrpSpPr>
        <xdr:cNvPr id="13" name="Group 973"/>
        <xdr:cNvGrpSpPr>
          <a:grpSpLocks/>
        </xdr:cNvGrpSpPr>
      </xdr:nvGrpSpPr>
      <xdr:grpSpPr>
        <a:xfrm>
          <a:off x="638175" y="1466850"/>
          <a:ext cx="1028700" cy="295275"/>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2">
            <a:hlinkClick r:id="rId7"/>
          </xdr:cNvPr>
          <xdr:cNvSpPr txBox="1">
            <a:spLocks noChangeArrowheads="1"/>
          </xdr:cNvSpPr>
        </xdr:nvSpPr>
        <xdr:spPr>
          <a:xfrm>
            <a:off x="48" y="137"/>
            <a:ext cx="91" cy="19"/>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38100</xdr:colOff>
      <xdr:row>14</xdr:row>
      <xdr:rowOff>66675</xdr:rowOff>
    </xdr:from>
    <xdr:to>
      <xdr:col>1</xdr:col>
      <xdr:colOff>971550</xdr:colOff>
      <xdr:row>15</xdr:row>
      <xdr:rowOff>133350</xdr:rowOff>
    </xdr:to>
    <xdr:grpSp>
      <xdr:nvGrpSpPr>
        <xdr:cNvPr id="16" name="Group 976"/>
        <xdr:cNvGrpSpPr>
          <a:grpSpLocks/>
        </xdr:cNvGrpSpPr>
      </xdr:nvGrpSpPr>
      <xdr:grpSpPr>
        <a:xfrm>
          <a:off x="676275" y="3971925"/>
          <a:ext cx="933450" cy="304800"/>
          <a:chOff x="54" y="480"/>
          <a:chExt cx="98" cy="34"/>
        </a:xfrm>
        <a:solidFill>
          <a:srgbClr val="FFFFFF"/>
        </a:solidFill>
      </xdr:grpSpPr>
      <xdr:sp>
        <xdr:nvSpPr>
          <xdr:cNvPr id="17" name="Rounded Rectangle 20"/>
          <xdr:cNvSpPr>
            <a:spLocks/>
          </xdr:cNvSpPr>
        </xdr:nvSpPr>
        <xdr:spPr>
          <a:xfrm>
            <a:off x="54" y="483"/>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4">
            <a:hlinkClick r:id="rId8"/>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28575</xdr:colOff>
      <xdr:row>3</xdr:row>
      <xdr:rowOff>161925</xdr:rowOff>
    </xdr:from>
    <xdr:to>
      <xdr:col>0</xdr:col>
      <xdr:colOff>609600</xdr:colOff>
      <xdr:row>5</xdr:row>
      <xdr:rowOff>428625</xdr:rowOff>
    </xdr:to>
    <xdr:grpSp>
      <xdr:nvGrpSpPr>
        <xdr:cNvPr id="19" name="Group 980"/>
        <xdr:cNvGrpSpPr>
          <a:grpSpLocks/>
        </xdr:cNvGrpSpPr>
      </xdr:nvGrpSpPr>
      <xdr:grpSpPr>
        <a:xfrm>
          <a:off x="28575" y="1247775"/>
          <a:ext cx="581025" cy="619125"/>
          <a:chOff x="2" y="119"/>
          <a:chExt cx="45" cy="53"/>
        </a:xfrm>
        <a:solidFill>
          <a:srgbClr val="FFFFFF"/>
        </a:solidFill>
      </xdr:grpSpPr>
      <xdr:sp>
        <xdr:nvSpPr>
          <xdr:cNvPr id="20" name="AutoShape 98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982"/>
          <xdr:cNvSpPr txBox="1">
            <a:spLocks noChangeArrowheads="1"/>
          </xdr:cNvSpPr>
        </xdr:nvSpPr>
        <xdr:spPr>
          <a:xfrm>
            <a:off x="5" y="139"/>
            <a:ext cx="41" cy="24"/>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76200</xdr:rowOff>
    </xdr:from>
    <xdr:to>
      <xdr:col>3</xdr:col>
      <xdr:colOff>1171575</xdr:colOff>
      <xdr:row>41</xdr:row>
      <xdr:rowOff>28575</xdr:rowOff>
    </xdr:to>
    <xdr:pic>
      <xdr:nvPicPr>
        <xdr:cNvPr id="1" name="Picture 11" descr="Toronto647.wmf"/>
        <xdr:cNvPicPr preferRelativeResize="1">
          <a:picLocks noChangeAspect="1"/>
        </xdr:cNvPicPr>
      </xdr:nvPicPr>
      <xdr:blipFill>
        <a:blip r:embed="rId1"/>
        <a:stretch>
          <a:fillRect/>
        </a:stretch>
      </xdr:blipFill>
      <xdr:spPr>
        <a:xfrm>
          <a:off x="1762125" y="13344525"/>
          <a:ext cx="1781175" cy="552450"/>
        </a:xfrm>
        <a:prstGeom prst="rect">
          <a:avLst/>
        </a:prstGeom>
        <a:noFill/>
        <a:ln w="9525" cmpd="sng">
          <a:noFill/>
        </a:ln>
      </xdr:spPr>
    </xdr:pic>
    <xdr:clientData/>
  </xdr:twoCellAnchor>
  <xdr:twoCellAnchor editAs="oneCell">
    <xdr:from>
      <xdr:col>6</xdr:col>
      <xdr:colOff>647700</xdr:colOff>
      <xdr:row>38</xdr:row>
      <xdr:rowOff>0</xdr:rowOff>
    </xdr:from>
    <xdr:to>
      <xdr:col>9</xdr:col>
      <xdr:colOff>276225</xdr:colOff>
      <xdr:row>40</xdr:row>
      <xdr:rowOff>104775</xdr:rowOff>
    </xdr:to>
    <xdr:pic>
      <xdr:nvPicPr>
        <xdr:cNvPr id="2" name="Picture 13" descr="livegreen_B.wmf"/>
        <xdr:cNvPicPr preferRelativeResize="1">
          <a:picLocks noChangeAspect="1"/>
        </xdr:cNvPicPr>
      </xdr:nvPicPr>
      <xdr:blipFill>
        <a:blip r:embed="rId2"/>
        <a:stretch>
          <a:fillRect/>
        </a:stretch>
      </xdr:blipFill>
      <xdr:spPr>
        <a:xfrm>
          <a:off x="9563100" y="13268325"/>
          <a:ext cx="176212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1885950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62125" y="0"/>
          <a:ext cx="2495550" cy="561975"/>
        </a:xfrm>
        <a:prstGeom prst="rect">
          <a:avLst/>
        </a:prstGeom>
        <a:noFill/>
        <a:ln w="9525" cmpd="sng">
          <a:noFill/>
        </a:ln>
      </xdr:spPr>
    </xdr:pic>
    <xdr:clientData/>
  </xdr:twoCellAnchor>
  <xdr:twoCellAnchor>
    <xdr:from>
      <xdr:col>1</xdr:col>
      <xdr:colOff>19050</xdr:colOff>
      <xdr:row>11</xdr:row>
      <xdr:rowOff>66675</xdr:rowOff>
    </xdr:from>
    <xdr:to>
      <xdr:col>1</xdr:col>
      <xdr:colOff>1038225</xdr:colOff>
      <xdr:row>12</xdr:row>
      <xdr:rowOff>95250</xdr:rowOff>
    </xdr:to>
    <xdr:grpSp>
      <xdr:nvGrpSpPr>
        <xdr:cNvPr id="4" name="Group 1259"/>
        <xdr:cNvGrpSpPr>
          <a:grpSpLocks/>
        </xdr:cNvGrpSpPr>
      </xdr:nvGrpSpPr>
      <xdr:grpSpPr>
        <a:xfrm>
          <a:off x="676275" y="7181850"/>
          <a:ext cx="1019175" cy="276225"/>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9</xdr:row>
      <xdr:rowOff>142875</xdr:rowOff>
    </xdr:from>
    <xdr:to>
      <xdr:col>1</xdr:col>
      <xdr:colOff>990600</xdr:colOff>
      <xdr:row>10</xdr:row>
      <xdr:rowOff>190500</xdr:rowOff>
    </xdr:to>
    <xdr:grpSp>
      <xdr:nvGrpSpPr>
        <xdr:cNvPr id="7" name="Group 1262"/>
        <xdr:cNvGrpSpPr>
          <a:grpSpLocks/>
        </xdr:cNvGrpSpPr>
      </xdr:nvGrpSpPr>
      <xdr:grpSpPr>
        <a:xfrm>
          <a:off x="704850" y="6800850"/>
          <a:ext cx="952500" cy="295275"/>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6</xdr:row>
      <xdr:rowOff>76200</xdr:rowOff>
    </xdr:from>
    <xdr:to>
      <xdr:col>1</xdr:col>
      <xdr:colOff>1047750</xdr:colOff>
      <xdr:row>6</xdr:row>
      <xdr:rowOff>381000</xdr:rowOff>
    </xdr:to>
    <xdr:grpSp>
      <xdr:nvGrpSpPr>
        <xdr:cNvPr id="10" name="Group 1265"/>
        <xdr:cNvGrpSpPr>
          <a:grpSpLocks/>
        </xdr:cNvGrpSpPr>
      </xdr:nvGrpSpPr>
      <xdr:grpSpPr>
        <a:xfrm>
          <a:off x="657225" y="5876925"/>
          <a:ext cx="1047750" cy="304800"/>
          <a:chOff x="40" y="187"/>
          <a:chExt cx="110" cy="32"/>
        </a:xfrm>
        <a:solidFill>
          <a:srgbClr val="FFFFFF"/>
        </a:solidFill>
      </xdr:grpSpPr>
      <xdr:sp>
        <xdr:nvSpPr>
          <xdr:cNvPr id="11"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1">
            <a:hlinkClick r:id="rId6"/>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295275</xdr:rowOff>
    </xdr:from>
    <xdr:to>
      <xdr:col>1</xdr:col>
      <xdr:colOff>1028700</xdr:colOff>
      <xdr:row>6</xdr:row>
      <xdr:rowOff>0</xdr:rowOff>
    </xdr:to>
    <xdr:grpSp>
      <xdr:nvGrpSpPr>
        <xdr:cNvPr id="13" name="Group 1268"/>
        <xdr:cNvGrpSpPr>
          <a:grpSpLocks/>
        </xdr:cNvGrpSpPr>
      </xdr:nvGrpSpPr>
      <xdr:grpSpPr>
        <a:xfrm>
          <a:off x="657225" y="1495425"/>
          <a:ext cx="1028700" cy="4305300"/>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2">
            <a:hlinkClick r:id="rId7"/>
          </xdr:cNvPr>
          <xdr:cNvSpPr txBox="1">
            <a:spLocks noChangeArrowheads="1"/>
          </xdr:cNvSpPr>
        </xdr:nvSpPr>
        <xdr:spPr>
          <a:xfrm>
            <a:off x="48" y="137"/>
            <a:ext cx="91" cy="24"/>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47625</xdr:colOff>
      <xdr:row>12</xdr:row>
      <xdr:rowOff>152400</xdr:rowOff>
    </xdr:from>
    <xdr:to>
      <xdr:col>1</xdr:col>
      <xdr:colOff>981075</xdr:colOff>
      <xdr:row>13</xdr:row>
      <xdr:rowOff>152400</xdr:rowOff>
    </xdr:to>
    <xdr:grpSp>
      <xdr:nvGrpSpPr>
        <xdr:cNvPr id="16" name="Group 1271"/>
        <xdr:cNvGrpSpPr>
          <a:grpSpLocks/>
        </xdr:cNvGrpSpPr>
      </xdr:nvGrpSpPr>
      <xdr:grpSpPr>
        <a:xfrm>
          <a:off x="704850" y="7515225"/>
          <a:ext cx="933450" cy="247650"/>
          <a:chOff x="54" y="474"/>
          <a:chExt cx="98" cy="31"/>
        </a:xfrm>
        <a:solidFill>
          <a:srgbClr val="FFFFFF"/>
        </a:solidFill>
      </xdr:grpSpPr>
      <xdr:sp>
        <xdr:nvSpPr>
          <xdr:cNvPr id="1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4">
            <a:hlinkClick r:id="rId8"/>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28575</xdr:colOff>
      <xdr:row>5</xdr:row>
      <xdr:rowOff>3562350</xdr:rowOff>
    </xdr:from>
    <xdr:to>
      <xdr:col>1</xdr:col>
      <xdr:colOff>19050</xdr:colOff>
      <xdr:row>7</xdr:row>
      <xdr:rowOff>0</xdr:rowOff>
    </xdr:to>
    <xdr:grpSp>
      <xdr:nvGrpSpPr>
        <xdr:cNvPr id="19" name="Group 1275"/>
        <xdr:cNvGrpSpPr>
          <a:grpSpLocks/>
        </xdr:cNvGrpSpPr>
      </xdr:nvGrpSpPr>
      <xdr:grpSpPr>
        <a:xfrm>
          <a:off x="28575" y="5162550"/>
          <a:ext cx="647700" cy="1057275"/>
          <a:chOff x="2" y="119"/>
          <a:chExt cx="45" cy="53"/>
        </a:xfrm>
        <a:solidFill>
          <a:srgbClr val="FFFFFF"/>
        </a:solidFill>
      </xdr:grpSpPr>
      <xdr:sp>
        <xdr:nvSpPr>
          <xdr:cNvPr id="20" name="AutoShape 1276"/>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277"/>
          <xdr:cNvSpPr txBox="1">
            <a:spLocks noChangeArrowheads="1"/>
          </xdr:cNvSpPr>
        </xdr:nvSpPr>
        <xdr:spPr>
          <a:xfrm>
            <a:off x="2" y="140"/>
            <a:ext cx="45" cy="31"/>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48</xdr:row>
      <xdr:rowOff>0</xdr:rowOff>
    </xdr:from>
    <xdr:to>
      <xdr:col>2</xdr:col>
      <xdr:colOff>1781175</xdr:colOff>
      <xdr:row>50</xdr:row>
      <xdr:rowOff>152400</xdr:rowOff>
    </xdr:to>
    <xdr:pic>
      <xdr:nvPicPr>
        <xdr:cNvPr id="1" name="Picture 11" descr="Toronto647.wmf"/>
        <xdr:cNvPicPr preferRelativeResize="1">
          <a:picLocks noChangeAspect="1"/>
        </xdr:cNvPicPr>
      </xdr:nvPicPr>
      <xdr:blipFill>
        <a:blip r:embed="rId1"/>
        <a:stretch>
          <a:fillRect/>
        </a:stretch>
      </xdr:blipFill>
      <xdr:spPr>
        <a:xfrm>
          <a:off x="1724025" y="11058525"/>
          <a:ext cx="1781175" cy="552450"/>
        </a:xfrm>
        <a:prstGeom prst="rect">
          <a:avLst/>
        </a:prstGeom>
        <a:noFill/>
        <a:ln w="9525" cmpd="sng">
          <a:noFill/>
        </a:ln>
      </xdr:spPr>
    </xdr:pic>
    <xdr:clientData/>
  </xdr:twoCellAnchor>
  <xdr:twoCellAnchor editAs="oneCell">
    <xdr:from>
      <xdr:col>7</xdr:col>
      <xdr:colOff>314325</xdr:colOff>
      <xdr:row>48</xdr:row>
      <xdr:rowOff>123825</xdr:rowOff>
    </xdr:from>
    <xdr:to>
      <xdr:col>9</xdr:col>
      <xdr:colOff>371475</xdr:colOff>
      <xdr:row>51</xdr:row>
      <xdr:rowOff>28575</xdr:rowOff>
    </xdr:to>
    <xdr:pic>
      <xdr:nvPicPr>
        <xdr:cNvPr id="2" name="Picture 13" descr="livegreen_B.wmf"/>
        <xdr:cNvPicPr preferRelativeResize="1">
          <a:picLocks noChangeAspect="1"/>
        </xdr:cNvPicPr>
      </xdr:nvPicPr>
      <xdr:blipFill>
        <a:blip r:embed="rId2"/>
        <a:stretch>
          <a:fillRect/>
        </a:stretch>
      </xdr:blipFill>
      <xdr:spPr>
        <a:xfrm>
          <a:off x="8848725" y="11182350"/>
          <a:ext cx="1762125"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24025" y="0"/>
          <a:ext cx="2495550" cy="561975"/>
        </a:xfrm>
        <a:prstGeom prst="rect">
          <a:avLst/>
        </a:prstGeom>
        <a:noFill/>
        <a:ln w="9525" cmpd="sng">
          <a:noFill/>
        </a:ln>
      </xdr:spPr>
    </xdr:pic>
    <xdr:clientData/>
  </xdr:twoCellAnchor>
  <xdr:twoCellAnchor>
    <xdr:from>
      <xdr:col>1</xdr:col>
      <xdr:colOff>19050</xdr:colOff>
      <xdr:row>9</xdr:row>
      <xdr:rowOff>180975</xdr:rowOff>
    </xdr:from>
    <xdr:to>
      <xdr:col>1</xdr:col>
      <xdr:colOff>1038225</xdr:colOff>
      <xdr:row>11</xdr:row>
      <xdr:rowOff>38100</xdr:rowOff>
    </xdr:to>
    <xdr:grpSp>
      <xdr:nvGrpSpPr>
        <xdr:cNvPr id="4" name="Group 1257"/>
        <xdr:cNvGrpSpPr>
          <a:grpSpLocks/>
        </xdr:cNvGrpSpPr>
      </xdr:nvGrpSpPr>
      <xdr:grpSpPr>
        <a:xfrm>
          <a:off x="600075" y="2990850"/>
          <a:ext cx="1019175" cy="295275"/>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7</xdr:row>
      <xdr:rowOff>276225</xdr:rowOff>
    </xdr:from>
    <xdr:to>
      <xdr:col>1</xdr:col>
      <xdr:colOff>990600</xdr:colOff>
      <xdr:row>9</xdr:row>
      <xdr:rowOff>123825</xdr:rowOff>
    </xdr:to>
    <xdr:grpSp>
      <xdr:nvGrpSpPr>
        <xdr:cNvPr id="7" name="Group 1260"/>
        <xdr:cNvGrpSpPr>
          <a:grpSpLocks/>
        </xdr:cNvGrpSpPr>
      </xdr:nvGrpSpPr>
      <xdr:grpSpPr>
        <a:xfrm>
          <a:off x="628650" y="2609850"/>
          <a:ext cx="942975" cy="323850"/>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19"/>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5</xdr:row>
      <xdr:rowOff>76200</xdr:rowOff>
    </xdr:from>
    <xdr:to>
      <xdr:col>1</xdr:col>
      <xdr:colOff>1047750</xdr:colOff>
      <xdr:row>6</xdr:row>
      <xdr:rowOff>304800</xdr:rowOff>
    </xdr:to>
    <xdr:grpSp>
      <xdr:nvGrpSpPr>
        <xdr:cNvPr id="10" name="Group 1263"/>
        <xdr:cNvGrpSpPr>
          <a:grpSpLocks/>
        </xdr:cNvGrpSpPr>
      </xdr:nvGrpSpPr>
      <xdr:grpSpPr>
        <a:xfrm>
          <a:off x="581025" y="1714500"/>
          <a:ext cx="1047750" cy="438150"/>
          <a:chOff x="40" y="187"/>
          <a:chExt cx="110" cy="32"/>
        </a:xfrm>
        <a:solidFill>
          <a:srgbClr val="FFFFFF"/>
        </a:solidFill>
      </xdr:grpSpPr>
      <xdr:sp>
        <xdr:nvSpPr>
          <xdr:cNvPr id="11"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1">
            <a:hlinkClick r:id="rId6"/>
          </xdr:cNvPr>
          <xdr:cNvSpPr txBox="1">
            <a:spLocks noChangeArrowheads="1"/>
          </xdr:cNvSpPr>
        </xdr:nvSpPr>
        <xdr:spPr>
          <a:xfrm>
            <a:off x="42" y="192"/>
            <a:ext cx="108" cy="19"/>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85725</xdr:rowOff>
    </xdr:from>
    <xdr:to>
      <xdr:col>1</xdr:col>
      <xdr:colOff>1028700</xdr:colOff>
      <xdr:row>4</xdr:row>
      <xdr:rowOff>361950</xdr:rowOff>
    </xdr:to>
    <xdr:grpSp>
      <xdr:nvGrpSpPr>
        <xdr:cNvPr id="13" name="Group 1266"/>
        <xdr:cNvGrpSpPr>
          <a:grpSpLocks/>
        </xdr:cNvGrpSpPr>
      </xdr:nvGrpSpPr>
      <xdr:grpSpPr>
        <a:xfrm>
          <a:off x="581025" y="1333500"/>
          <a:ext cx="1028700" cy="285750"/>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2">
            <a:hlinkClick r:id="rId7"/>
          </xdr:cNvPr>
          <xdr:cNvSpPr txBox="1">
            <a:spLocks noChangeArrowheads="1"/>
          </xdr:cNvSpPr>
        </xdr:nvSpPr>
        <xdr:spPr>
          <a:xfrm>
            <a:off x="48" y="138"/>
            <a:ext cx="91" cy="21"/>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11</xdr:row>
      <xdr:rowOff>95250</xdr:rowOff>
    </xdr:from>
    <xdr:to>
      <xdr:col>1</xdr:col>
      <xdr:colOff>1000125</xdr:colOff>
      <xdr:row>12</xdr:row>
      <xdr:rowOff>190500</xdr:rowOff>
    </xdr:to>
    <xdr:grpSp>
      <xdr:nvGrpSpPr>
        <xdr:cNvPr id="16" name="Group 1269"/>
        <xdr:cNvGrpSpPr>
          <a:grpSpLocks/>
        </xdr:cNvGrpSpPr>
      </xdr:nvGrpSpPr>
      <xdr:grpSpPr>
        <a:xfrm>
          <a:off x="647700" y="3343275"/>
          <a:ext cx="933450" cy="295275"/>
          <a:chOff x="54" y="474"/>
          <a:chExt cx="98" cy="31"/>
        </a:xfrm>
        <a:solidFill>
          <a:srgbClr val="FFFFFF"/>
        </a:solidFill>
      </xdr:grpSpPr>
      <xdr:sp>
        <xdr:nvSpPr>
          <xdr:cNvPr id="1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4">
            <a:hlinkClick r:id="rId8"/>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47625</xdr:colOff>
      <xdr:row>7</xdr:row>
      <xdr:rowOff>190500</xdr:rowOff>
    </xdr:from>
    <xdr:to>
      <xdr:col>1</xdr:col>
      <xdr:colOff>57150</xdr:colOff>
      <xdr:row>10</xdr:row>
      <xdr:rowOff>38100</xdr:rowOff>
    </xdr:to>
    <xdr:grpSp>
      <xdr:nvGrpSpPr>
        <xdr:cNvPr id="19" name="Group 1273"/>
        <xdr:cNvGrpSpPr>
          <a:grpSpLocks/>
        </xdr:cNvGrpSpPr>
      </xdr:nvGrpSpPr>
      <xdr:grpSpPr>
        <a:xfrm>
          <a:off x="47625" y="2524125"/>
          <a:ext cx="590550" cy="523875"/>
          <a:chOff x="2" y="119"/>
          <a:chExt cx="45" cy="53"/>
        </a:xfrm>
        <a:solidFill>
          <a:srgbClr val="FFFFFF"/>
        </a:solidFill>
      </xdr:grpSpPr>
      <xdr:sp>
        <xdr:nvSpPr>
          <xdr:cNvPr id="20" name="AutoShape 127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275"/>
          <xdr:cNvSpPr txBox="1">
            <a:spLocks noChangeArrowheads="1"/>
          </xdr:cNvSpPr>
        </xdr:nvSpPr>
        <xdr:spPr>
          <a:xfrm>
            <a:off x="5" y="134"/>
            <a:ext cx="41" cy="24"/>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789</xdr:row>
      <xdr:rowOff>0</xdr:rowOff>
    </xdr:from>
    <xdr:to>
      <xdr:col>2</xdr:col>
      <xdr:colOff>1781175</xdr:colOff>
      <xdr:row>791</xdr:row>
      <xdr:rowOff>152400</xdr:rowOff>
    </xdr:to>
    <xdr:pic>
      <xdr:nvPicPr>
        <xdr:cNvPr id="1" name="Picture 11" descr="Toronto647.wmf"/>
        <xdr:cNvPicPr preferRelativeResize="1">
          <a:picLocks noChangeAspect="1"/>
        </xdr:cNvPicPr>
      </xdr:nvPicPr>
      <xdr:blipFill>
        <a:blip r:embed="rId1"/>
        <a:stretch>
          <a:fillRect/>
        </a:stretch>
      </xdr:blipFill>
      <xdr:spPr>
        <a:xfrm>
          <a:off x="1885950" y="170811825"/>
          <a:ext cx="1781175" cy="552450"/>
        </a:xfrm>
        <a:prstGeom prst="rect">
          <a:avLst/>
        </a:prstGeom>
        <a:noFill/>
        <a:ln w="9525" cmpd="sng">
          <a:noFill/>
        </a:ln>
      </xdr:spPr>
    </xdr:pic>
    <xdr:clientData/>
  </xdr:twoCellAnchor>
  <xdr:twoCellAnchor editAs="oneCell">
    <xdr:from>
      <xdr:col>7</xdr:col>
      <xdr:colOff>695325</xdr:colOff>
      <xdr:row>789</xdr:row>
      <xdr:rowOff>114300</xdr:rowOff>
    </xdr:from>
    <xdr:to>
      <xdr:col>9</xdr:col>
      <xdr:colOff>447675</xdr:colOff>
      <xdr:row>792</xdr:row>
      <xdr:rowOff>19050</xdr:rowOff>
    </xdr:to>
    <xdr:pic>
      <xdr:nvPicPr>
        <xdr:cNvPr id="2" name="Picture 13" descr="livegreen_B.wmf"/>
        <xdr:cNvPicPr preferRelativeResize="1">
          <a:picLocks noChangeAspect="1"/>
        </xdr:cNvPicPr>
      </xdr:nvPicPr>
      <xdr:blipFill>
        <a:blip r:embed="rId2"/>
        <a:stretch>
          <a:fillRect/>
        </a:stretch>
      </xdr:blipFill>
      <xdr:spPr>
        <a:xfrm>
          <a:off x="10258425" y="170926125"/>
          <a:ext cx="178117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200025</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885950" y="0"/>
          <a:ext cx="2495550" cy="561975"/>
        </a:xfrm>
        <a:prstGeom prst="rect">
          <a:avLst/>
        </a:prstGeom>
        <a:noFill/>
        <a:ln w="9525" cmpd="sng">
          <a:noFill/>
        </a:ln>
      </xdr:spPr>
    </xdr:pic>
    <xdr:clientData/>
  </xdr:twoCellAnchor>
  <xdr:twoCellAnchor>
    <xdr:from>
      <xdr:col>1</xdr:col>
      <xdr:colOff>19050</xdr:colOff>
      <xdr:row>10</xdr:row>
      <xdr:rowOff>76200</xdr:rowOff>
    </xdr:from>
    <xdr:to>
      <xdr:col>1</xdr:col>
      <xdr:colOff>1038225</xdr:colOff>
      <xdr:row>11</xdr:row>
      <xdr:rowOff>171450</xdr:rowOff>
    </xdr:to>
    <xdr:grpSp>
      <xdr:nvGrpSpPr>
        <xdr:cNvPr id="4" name="Group 1298"/>
        <xdr:cNvGrpSpPr>
          <a:grpSpLocks/>
        </xdr:cNvGrpSpPr>
      </xdr:nvGrpSpPr>
      <xdr:grpSpPr>
        <a:xfrm>
          <a:off x="685800" y="3076575"/>
          <a:ext cx="1019175" cy="295275"/>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8</xdr:row>
      <xdr:rowOff>104775</xdr:rowOff>
    </xdr:from>
    <xdr:to>
      <xdr:col>1</xdr:col>
      <xdr:colOff>990600</xdr:colOff>
      <xdr:row>10</xdr:row>
      <xdr:rowOff>9525</xdr:rowOff>
    </xdr:to>
    <xdr:grpSp>
      <xdr:nvGrpSpPr>
        <xdr:cNvPr id="7" name="Group 1301"/>
        <xdr:cNvGrpSpPr>
          <a:grpSpLocks/>
        </xdr:cNvGrpSpPr>
      </xdr:nvGrpSpPr>
      <xdr:grpSpPr>
        <a:xfrm>
          <a:off x="714375" y="2705100"/>
          <a:ext cx="942975" cy="304800"/>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5</xdr:row>
      <xdr:rowOff>19050</xdr:rowOff>
    </xdr:from>
    <xdr:to>
      <xdr:col>1</xdr:col>
      <xdr:colOff>1047750</xdr:colOff>
      <xdr:row>5</xdr:row>
      <xdr:rowOff>361950</xdr:rowOff>
    </xdr:to>
    <xdr:grpSp>
      <xdr:nvGrpSpPr>
        <xdr:cNvPr id="10" name="Group 1304"/>
        <xdr:cNvGrpSpPr>
          <a:grpSpLocks/>
        </xdr:cNvGrpSpPr>
      </xdr:nvGrpSpPr>
      <xdr:grpSpPr>
        <a:xfrm>
          <a:off x="666750" y="1733550"/>
          <a:ext cx="1047750" cy="342900"/>
          <a:chOff x="40" y="187"/>
          <a:chExt cx="110" cy="32"/>
        </a:xfrm>
        <a:solidFill>
          <a:srgbClr val="FFFFFF"/>
        </a:solidFill>
      </xdr:grpSpPr>
      <xdr:sp>
        <xdr:nvSpPr>
          <xdr:cNvPr id="11"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1">
            <a:hlinkClick r:id="rId6"/>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38100</xdr:rowOff>
    </xdr:from>
    <xdr:to>
      <xdr:col>1</xdr:col>
      <xdr:colOff>1038225</xdr:colOff>
      <xdr:row>4</xdr:row>
      <xdr:rowOff>361950</xdr:rowOff>
    </xdr:to>
    <xdr:grpSp>
      <xdr:nvGrpSpPr>
        <xdr:cNvPr id="13" name="Group 1307"/>
        <xdr:cNvGrpSpPr>
          <a:grpSpLocks/>
        </xdr:cNvGrpSpPr>
      </xdr:nvGrpSpPr>
      <xdr:grpSpPr>
        <a:xfrm>
          <a:off x="666750" y="1295400"/>
          <a:ext cx="1038225" cy="323850"/>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2">
            <a:hlinkClick r:id="rId7"/>
          </xdr:cNvPr>
          <xdr:cNvSpPr txBox="1">
            <a:spLocks noChangeArrowheads="1"/>
          </xdr:cNvSpPr>
        </xdr:nvSpPr>
        <xdr:spPr>
          <a:xfrm>
            <a:off x="48" y="137"/>
            <a:ext cx="91" cy="24"/>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12</xdr:row>
      <xdr:rowOff>19050</xdr:rowOff>
    </xdr:from>
    <xdr:to>
      <xdr:col>1</xdr:col>
      <xdr:colOff>981075</xdr:colOff>
      <xdr:row>13</xdr:row>
      <xdr:rowOff>104775</xdr:rowOff>
    </xdr:to>
    <xdr:grpSp>
      <xdr:nvGrpSpPr>
        <xdr:cNvPr id="16" name="Group 1310"/>
        <xdr:cNvGrpSpPr>
          <a:grpSpLocks/>
        </xdr:cNvGrpSpPr>
      </xdr:nvGrpSpPr>
      <xdr:grpSpPr>
        <a:xfrm>
          <a:off x="733425" y="3419475"/>
          <a:ext cx="914400" cy="285750"/>
          <a:chOff x="54" y="474"/>
          <a:chExt cx="98" cy="31"/>
        </a:xfrm>
        <a:solidFill>
          <a:srgbClr val="FFFFFF"/>
        </a:solidFill>
      </xdr:grpSpPr>
      <xdr:sp>
        <xdr:nvSpPr>
          <xdr:cNvPr id="1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4">
            <a:hlinkClick r:id="rId8"/>
          </xdr:cNvPr>
          <xdr:cNvSpPr txBox="1">
            <a:spLocks noChangeArrowheads="1"/>
          </xdr:cNvSpPr>
        </xdr:nvSpPr>
        <xdr:spPr>
          <a:xfrm>
            <a:off x="60" y="480"/>
            <a:ext cx="84"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66675</xdr:colOff>
      <xdr:row>10</xdr:row>
      <xdr:rowOff>19050</xdr:rowOff>
    </xdr:from>
    <xdr:to>
      <xdr:col>1</xdr:col>
      <xdr:colOff>19050</xdr:colOff>
      <xdr:row>12</xdr:row>
      <xdr:rowOff>9525</xdr:rowOff>
    </xdr:to>
    <xdr:grpSp>
      <xdr:nvGrpSpPr>
        <xdr:cNvPr id="19" name="Group 1314"/>
        <xdr:cNvGrpSpPr>
          <a:grpSpLocks/>
        </xdr:cNvGrpSpPr>
      </xdr:nvGrpSpPr>
      <xdr:grpSpPr>
        <a:xfrm>
          <a:off x="66675" y="3019425"/>
          <a:ext cx="619125" cy="390525"/>
          <a:chOff x="2" y="119"/>
          <a:chExt cx="45" cy="53"/>
        </a:xfrm>
        <a:solidFill>
          <a:srgbClr val="FFFFFF"/>
        </a:solidFill>
      </xdr:grpSpPr>
      <xdr:sp>
        <xdr:nvSpPr>
          <xdr:cNvPr id="20" name="AutoShape 131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316"/>
          <xdr:cNvSpPr txBox="1">
            <a:spLocks noChangeArrowheads="1"/>
          </xdr:cNvSpPr>
        </xdr:nvSpPr>
        <xdr:spPr>
          <a:xfrm>
            <a:off x="5" y="134"/>
            <a:ext cx="41" cy="25"/>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27</xdr:row>
      <xdr:rowOff>57150</xdr:rowOff>
    </xdr:from>
    <xdr:to>
      <xdr:col>2</xdr:col>
      <xdr:colOff>1800225</xdr:colOff>
      <xdr:row>28</xdr:row>
      <xdr:rowOff>180975</xdr:rowOff>
    </xdr:to>
    <xdr:pic>
      <xdr:nvPicPr>
        <xdr:cNvPr id="1" name="Picture 11" descr="Toronto647.wmf"/>
        <xdr:cNvPicPr preferRelativeResize="1">
          <a:picLocks noChangeAspect="1"/>
        </xdr:cNvPicPr>
      </xdr:nvPicPr>
      <xdr:blipFill>
        <a:blip r:embed="rId1"/>
        <a:stretch>
          <a:fillRect/>
        </a:stretch>
      </xdr:blipFill>
      <xdr:spPr>
        <a:xfrm>
          <a:off x="1695450" y="9105900"/>
          <a:ext cx="1781175" cy="552450"/>
        </a:xfrm>
        <a:prstGeom prst="rect">
          <a:avLst/>
        </a:prstGeom>
        <a:noFill/>
        <a:ln w="9525" cmpd="sng">
          <a:noFill/>
        </a:ln>
      </xdr:spPr>
    </xdr:pic>
    <xdr:clientData/>
  </xdr:twoCellAnchor>
  <xdr:twoCellAnchor editAs="oneCell">
    <xdr:from>
      <xdr:col>2</xdr:col>
      <xdr:colOff>3914775</xdr:colOff>
      <xdr:row>27</xdr:row>
      <xdr:rowOff>57150</xdr:rowOff>
    </xdr:from>
    <xdr:to>
      <xdr:col>2</xdr:col>
      <xdr:colOff>5676900</xdr:colOff>
      <xdr:row>28</xdr:row>
      <xdr:rowOff>133350</xdr:rowOff>
    </xdr:to>
    <xdr:pic>
      <xdr:nvPicPr>
        <xdr:cNvPr id="2" name="Picture 13" descr="livegreen_B.wmf"/>
        <xdr:cNvPicPr preferRelativeResize="1">
          <a:picLocks noChangeAspect="1"/>
        </xdr:cNvPicPr>
      </xdr:nvPicPr>
      <xdr:blipFill>
        <a:blip r:embed="rId2"/>
        <a:stretch>
          <a:fillRect/>
        </a:stretch>
      </xdr:blipFill>
      <xdr:spPr>
        <a:xfrm>
          <a:off x="5591175" y="9105900"/>
          <a:ext cx="1762125"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676400" y="0"/>
          <a:ext cx="2495550" cy="561975"/>
        </a:xfrm>
        <a:prstGeom prst="rect">
          <a:avLst/>
        </a:prstGeom>
        <a:noFill/>
        <a:ln w="9525" cmpd="sng">
          <a:noFill/>
        </a:ln>
      </xdr:spPr>
    </xdr:pic>
    <xdr:clientData/>
  </xdr:twoCellAnchor>
  <xdr:twoCellAnchor>
    <xdr:from>
      <xdr:col>1</xdr:col>
      <xdr:colOff>19050</xdr:colOff>
      <xdr:row>9</xdr:row>
      <xdr:rowOff>152400</xdr:rowOff>
    </xdr:from>
    <xdr:to>
      <xdr:col>1</xdr:col>
      <xdr:colOff>1038225</xdr:colOff>
      <xdr:row>10</xdr:row>
      <xdr:rowOff>190500</xdr:rowOff>
    </xdr:to>
    <xdr:grpSp>
      <xdr:nvGrpSpPr>
        <xdr:cNvPr id="4" name="Group 964"/>
        <xdr:cNvGrpSpPr>
          <a:grpSpLocks/>
        </xdr:cNvGrpSpPr>
      </xdr:nvGrpSpPr>
      <xdr:grpSpPr>
        <a:xfrm>
          <a:off x="581025" y="3038475"/>
          <a:ext cx="1019175" cy="43815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8</xdr:row>
      <xdr:rowOff>76200</xdr:rowOff>
    </xdr:from>
    <xdr:to>
      <xdr:col>1</xdr:col>
      <xdr:colOff>990600</xdr:colOff>
      <xdr:row>9</xdr:row>
      <xdr:rowOff>19050</xdr:rowOff>
    </xdr:to>
    <xdr:grpSp>
      <xdr:nvGrpSpPr>
        <xdr:cNvPr id="7" name="Group 967"/>
        <xdr:cNvGrpSpPr>
          <a:grpSpLocks/>
        </xdr:cNvGrpSpPr>
      </xdr:nvGrpSpPr>
      <xdr:grpSpPr>
        <a:xfrm>
          <a:off x="609600" y="2562225"/>
          <a:ext cx="942975" cy="342900"/>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4</xdr:row>
      <xdr:rowOff>447675</xdr:rowOff>
    </xdr:from>
    <xdr:to>
      <xdr:col>1</xdr:col>
      <xdr:colOff>1047750</xdr:colOff>
      <xdr:row>6</xdr:row>
      <xdr:rowOff>104775</xdr:rowOff>
    </xdr:to>
    <xdr:grpSp>
      <xdr:nvGrpSpPr>
        <xdr:cNvPr id="10" name="Group 970"/>
        <xdr:cNvGrpSpPr>
          <a:grpSpLocks/>
        </xdr:cNvGrpSpPr>
      </xdr:nvGrpSpPr>
      <xdr:grpSpPr>
        <a:xfrm>
          <a:off x="561975" y="1657350"/>
          <a:ext cx="1047750" cy="323850"/>
          <a:chOff x="40" y="187"/>
          <a:chExt cx="110" cy="32"/>
        </a:xfrm>
        <a:solidFill>
          <a:srgbClr val="FFFFFF"/>
        </a:solidFill>
      </xdr:grpSpPr>
      <xdr:sp>
        <xdr:nvSpPr>
          <xdr:cNvPr id="11"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1">
            <a:hlinkClick r:id="rId6"/>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28575</xdr:rowOff>
    </xdr:from>
    <xdr:to>
      <xdr:col>1</xdr:col>
      <xdr:colOff>1028700</xdr:colOff>
      <xdr:row>4</xdr:row>
      <xdr:rowOff>352425</xdr:rowOff>
    </xdr:to>
    <xdr:grpSp>
      <xdr:nvGrpSpPr>
        <xdr:cNvPr id="13" name="Group 973"/>
        <xdr:cNvGrpSpPr>
          <a:grpSpLocks/>
        </xdr:cNvGrpSpPr>
      </xdr:nvGrpSpPr>
      <xdr:grpSpPr>
        <a:xfrm>
          <a:off x="561975" y="1238250"/>
          <a:ext cx="1028700" cy="323850"/>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2">
            <a:hlinkClick r:id="rId7"/>
          </xdr:cNvPr>
          <xdr:cNvSpPr txBox="1">
            <a:spLocks noChangeArrowheads="1"/>
          </xdr:cNvSpPr>
        </xdr:nvSpPr>
        <xdr:spPr>
          <a:xfrm>
            <a:off x="48" y="137"/>
            <a:ext cx="92" cy="24"/>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11</xdr:row>
      <xdr:rowOff>76200</xdr:rowOff>
    </xdr:from>
    <xdr:to>
      <xdr:col>1</xdr:col>
      <xdr:colOff>981075</xdr:colOff>
      <xdr:row>12</xdr:row>
      <xdr:rowOff>152400</xdr:rowOff>
    </xdr:to>
    <xdr:grpSp>
      <xdr:nvGrpSpPr>
        <xdr:cNvPr id="16" name="Group 976"/>
        <xdr:cNvGrpSpPr>
          <a:grpSpLocks/>
        </xdr:cNvGrpSpPr>
      </xdr:nvGrpSpPr>
      <xdr:grpSpPr>
        <a:xfrm>
          <a:off x="628650" y="3562350"/>
          <a:ext cx="914400" cy="476250"/>
          <a:chOff x="54" y="474"/>
          <a:chExt cx="98" cy="31"/>
        </a:xfrm>
        <a:solidFill>
          <a:srgbClr val="FFFFFF"/>
        </a:solidFill>
      </xdr:grpSpPr>
      <xdr:sp>
        <xdr:nvSpPr>
          <xdr:cNvPr id="1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4">
            <a:hlinkClick r:id="rId8"/>
          </xdr:cNvPr>
          <xdr:cNvSpPr txBox="1">
            <a:spLocks noChangeArrowheads="1"/>
          </xdr:cNvSpPr>
        </xdr:nvSpPr>
        <xdr:spPr>
          <a:xfrm>
            <a:off x="60" y="480"/>
            <a:ext cx="84"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47625</xdr:colOff>
      <xdr:row>10</xdr:row>
      <xdr:rowOff>123825</xdr:rowOff>
    </xdr:from>
    <xdr:to>
      <xdr:col>1</xdr:col>
      <xdr:colOff>47625</xdr:colOff>
      <xdr:row>13</xdr:row>
      <xdr:rowOff>57150</xdr:rowOff>
    </xdr:to>
    <xdr:grpSp>
      <xdr:nvGrpSpPr>
        <xdr:cNvPr id="19" name="Group 980"/>
        <xdr:cNvGrpSpPr>
          <a:grpSpLocks/>
        </xdr:cNvGrpSpPr>
      </xdr:nvGrpSpPr>
      <xdr:grpSpPr>
        <a:xfrm>
          <a:off x="47625" y="3409950"/>
          <a:ext cx="561975" cy="733425"/>
          <a:chOff x="2" y="119"/>
          <a:chExt cx="45" cy="53"/>
        </a:xfrm>
        <a:solidFill>
          <a:srgbClr val="FFFFFF"/>
        </a:solidFill>
      </xdr:grpSpPr>
      <xdr:sp>
        <xdr:nvSpPr>
          <xdr:cNvPr id="20" name="AutoShape 98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982"/>
          <xdr:cNvSpPr txBox="1">
            <a:spLocks noChangeArrowheads="1"/>
          </xdr:cNvSpPr>
        </xdr:nvSpPr>
        <xdr:spPr>
          <a:xfrm>
            <a:off x="3" y="139"/>
            <a:ext cx="41" cy="24"/>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ttn/chief/ap42/ch09/final/c9s10-1b.pdf" TargetMode="External" /><Relationship Id="rId2" Type="http://schemas.openxmlformats.org/officeDocument/2006/relationships/hyperlink" Target="http://www.arb.ca.gov/app/emsinv/emseic_query.php?F_YR=2008&amp;F_DIV=-4&amp;F_SEASON=A&amp;SP=2009&amp;SPN=2009_Almanac&amp;F_AREA=CA&amp;F_EICSUM=450" TargetMode="External" /><Relationship Id="rId3" Type="http://schemas.openxmlformats.org/officeDocument/2006/relationships/hyperlink" Target="http://www.epa.gov/ttn/chief/ap42/ch10/final/c10s06-1.pdf" TargetMode="External" /><Relationship Id="rId4" Type="http://schemas.openxmlformats.org/officeDocument/2006/relationships/hyperlink" Target="http://www.bc.com/dms/wood/plywood/msds/Formadehyde-APAdocument2002.pdf" TargetMode="External" /><Relationship Id="rId5" Type="http://schemas.openxmlformats.org/officeDocument/2006/relationships/hyperlink" Target="http://www2.basf.us/urethanechemicals/kun_chemicals_mdi_prod_data_shee.html" TargetMode="External" /><Relationship Id="rId6" Type="http://schemas.openxmlformats.org/officeDocument/2006/relationships/hyperlink" Target="http://www.ucp.ru/en/customers/products/himprir/fenolsmola/" TargetMode="External" /><Relationship Id="rId7" Type="http://schemas.openxmlformats.org/officeDocument/2006/relationships/hyperlink" Target="http://www.toronto.ca/legdocs/municode/1184_423.pdf" TargetMode="External" /><Relationship Id="rId8" Type="http://schemas.openxmlformats.org/officeDocument/2006/relationships/drawing" Target="../drawings/drawing5.xml" /><Relationship Id="rId9"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F31"/>
  <sheetViews>
    <sheetView tabSelected="1" zoomScalePageLayoutView="0" workbookViewId="0" topLeftCell="A1">
      <selection activeCell="A1" sqref="A1"/>
    </sheetView>
  </sheetViews>
  <sheetFormatPr defaultColWidth="9.140625" defaultRowHeight="15"/>
  <cols>
    <col min="1" max="1" width="9.57421875" style="160" customWidth="1"/>
    <col min="2" max="2" width="16.57421875" style="160" customWidth="1"/>
    <col min="3" max="3" width="21.57421875" style="3" customWidth="1"/>
    <col min="4" max="4" width="82.8515625" style="3" customWidth="1"/>
    <col min="5" max="16384" width="9.140625" style="3" customWidth="1"/>
  </cols>
  <sheetData>
    <row r="1" ht="47.25" customHeight="1">
      <c r="C1" s="2"/>
    </row>
    <row r="2" spans="1:4" ht="18.75" customHeight="1" thickBot="1">
      <c r="A2" s="161"/>
      <c r="B2" s="161"/>
      <c r="C2" s="245" t="s">
        <v>339</v>
      </c>
      <c r="D2" s="245"/>
    </row>
    <row r="3" spans="1:4" ht="19.5" customHeight="1" thickBot="1">
      <c r="A3" s="161"/>
      <c r="B3" s="161"/>
      <c r="C3" s="244" t="s">
        <v>340</v>
      </c>
      <c r="D3" s="244"/>
    </row>
    <row r="4" spans="1:4" s="231" customFormat="1" ht="21" customHeight="1">
      <c r="A4" s="230"/>
      <c r="B4" s="230"/>
      <c r="C4" s="228" t="s">
        <v>328</v>
      </c>
      <c r="D4" s="229"/>
    </row>
    <row r="5" spans="1:4" ht="6.75" customHeight="1" thickBot="1">
      <c r="A5" s="162"/>
      <c r="B5" s="162"/>
      <c r="C5" s="4"/>
      <c r="D5" s="4"/>
    </row>
    <row r="6" spans="1:4" ht="50.25" customHeight="1" thickBot="1">
      <c r="A6" s="163"/>
      <c r="B6" s="163"/>
      <c r="C6" s="246" t="s">
        <v>319</v>
      </c>
      <c r="D6" s="247"/>
    </row>
    <row r="7" spans="1:4" ht="16.5" thickBot="1">
      <c r="A7" s="163"/>
      <c r="B7" s="163"/>
      <c r="C7" s="114"/>
      <c r="D7" s="114"/>
    </row>
    <row r="8" spans="1:4" ht="19.5" customHeight="1">
      <c r="A8" s="163"/>
      <c r="B8" s="163"/>
      <c r="C8" s="242" t="s">
        <v>268</v>
      </c>
      <c r="D8" s="132" t="s">
        <v>283</v>
      </c>
    </row>
    <row r="9" spans="1:4" ht="18.75" customHeight="1">
      <c r="A9" s="163"/>
      <c r="B9" s="163"/>
      <c r="C9" s="243"/>
      <c r="D9" s="133" t="s">
        <v>284</v>
      </c>
    </row>
    <row r="10" spans="1:4" ht="15.75" thickBot="1">
      <c r="A10" s="163"/>
      <c r="B10" s="163"/>
      <c r="C10" s="115"/>
      <c r="D10" s="149" t="s">
        <v>290</v>
      </c>
    </row>
    <row r="11" spans="3:4" ht="18" customHeight="1">
      <c r="C11" s="242" t="s">
        <v>272</v>
      </c>
      <c r="D11" s="116" t="s">
        <v>301</v>
      </c>
    </row>
    <row r="12" spans="3:4" ht="18" customHeight="1">
      <c r="C12" s="243"/>
      <c r="D12" s="117" t="s">
        <v>302</v>
      </c>
    </row>
    <row r="13" spans="3:4" ht="18.75" customHeight="1">
      <c r="C13" s="115"/>
      <c r="D13" s="117" t="s">
        <v>303</v>
      </c>
    </row>
    <row r="14" spans="3:4" ht="18.75" customHeight="1">
      <c r="C14" s="115"/>
      <c r="D14" s="117" t="s">
        <v>304</v>
      </c>
    </row>
    <row r="15" spans="3:4" ht="18.75" customHeight="1">
      <c r="C15" s="115"/>
      <c r="D15" s="117" t="s">
        <v>305</v>
      </c>
    </row>
    <row r="16" spans="3:4" ht="18.75" customHeight="1">
      <c r="C16" s="115"/>
      <c r="D16" s="117" t="s">
        <v>306</v>
      </c>
    </row>
    <row r="17" spans="3:4" ht="18.75" customHeight="1">
      <c r="C17" s="115"/>
      <c r="D17" s="117" t="s">
        <v>307</v>
      </c>
    </row>
    <row r="18" spans="3:4" ht="18.75" customHeight="1">
      <c r="C18" s="115"/>
      <c r="D18" s="117" t="s">
        <v>308</v>
      </c>
    </row>
    <row r="19" spans="3:4" ht="18.75" customHeight="1">
      <c r="C19" s="115"/>
      <c r="D19" s="117" t="s">
        <v>309</v>
      </c>
    </row>
    <row r="20" spans="3:4" ht="18.75" customHeight="1">
      <c r="C20" s="115"/>
      <c r="D20" s="117" t="s">
        <v>310</v>
      </c>
    </row>
    <row r="21" spans="3:4" ht="18.75" customHeight="1" thickBot="1">
      <c r="C21" s="115"/>
      <c r="D21" s="117" t="s">
        <v>311</v>
      </c>
    </row>
    <row r="22" spans="3:6" ht="38.25" customHeight="1" thickBot="1">
      <c r="C22" s="134" t="s">
        <v>269</v>
      </c>
      <c r="D22" s="164" t="s">
        <v>293</v>
      </c>
      <c r="F22" s="118"/>
    </row>
    <row r="23" spans="1:4" s="119" customFormat="1" ht="63" customHeight="1" thickBot="1">
      <c r="A23" s="160"/>
      <c r="B23" s="160"/>
      <c r="C23" s="146" t="s">
        <v>270</v>
      </c>
      <c r="D23" s="135" t="s">
        <v>320</v>
      </c>
    </row>
    <row r="24" spans="1:4" s="119" customFormat="1" ht="51" customHeight="1" thickBot="1">
      <c r="A24" s="160"/>
      <c r="B24" s="160"/>
      <c r="C24" s="147" t="s">
        <v>299</v>
      </c>
      <c r="D24" s="148" t="s">
        <v>300</v>
      </c>
    </row>
    <row r="25" spans="3:4" ht="32.25" customHeight="1">
      <c r="C25" s="183" t="s">
        <v>271</v>
      </c>
      <c r="D25" s="123" t="s">
        <v>273</v>
      </c>
    </row>
    <row r="26" spans="3:4" ht="15">
      <c r="C26" s="120"/>
      <c r="D26" s="121" t="s">
        <v>274</v>
      </c>
    </row>
    <row r="27" spans="3:4" ht="15">
      <c r="C27" s="120"/>
      <c r="D27" s="121" t="s">
        <v>275</v>
      </c>
    </row>
    <row r="28" spans="3:4" ht="15">
      <c r="C28" s="120"/>
      <c r="D28" s="121" t="s">
        <v>276</v>
      </c>
    </row>
    <row r="29" spans="3:4" ht="15">
      <c r="C29" s="120"/>
      <c r="D29" s="121" t="s">
        <v>277</v>
      </c>
    </row>
    <row r="30" spans="3:4" ht="15">
      <c r="C30" s="120"/>
      <c r="D30" s="121" t="s">
        <v>278</v>
      </c>
    </row>
    <row r="31" spans="3:4" ht="16.5" thickBot="1">
      <c r="C31" s="122"/>
      <c r="D31" s="145" t="s">
        <v>289</v>
      </c>
    </row>
    <row r="34" ht="15"/>
    <row r="35" ht="15"/>
  </sheetData>
  <sheetProtection sheet="1"/>
  <mergeCells count="5">
    <mergeCell ref="C11:C12"/>
    <mergeCell ref="C3:D3"/>
    <mergeCell ref="C2:D2"/>
    <mergeCell ref="C8:C9"/>
    <mergeCell ref="C6:D6"/>
  </mergeCells>
  <hyperlinks>
    <hyperlink ref="D23"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horizontalDpi="600" verticalDpi="600" orientation="portrait" scale="74" r:id="rId3"/>
  <drawing r:id="rId2"/>
</worksheet>
</file>

<file path=xl/worksheets/sheet2.xml><?xml version="1.0" encoding="utf-8"?>
<worksheet xmlns="http://schemas.openxmlformats.org/spreadsheetml/2006/main" xmlns:r="http://schemas.openxmlformats.org/officeDocument/2006/relationships">
  <sheetPr>
    <tabColor indexed="15"/>
  </sheetPr>
  <dimension ref="A1:BB193"/>
  <sheetViews>
    <sheetView zoomScalePageLayoutView="0" workbookViewId="0" topLeftCell="A1">
      <selection activeCell="A1" sqref="A1"/>
    </sheetView>
  </sheetViews>
  <sheetFormatPr defaultColWidth="9.140625" defaultRowHeight="15"/>
  <cols>
    <col min="1" max="1" width="9.8515625" style="160" customWidth="1"/>
    <col min="2" max="2" width="16.57421875" style="160" customWidth="1"/>
    <col min="3" max="3" width="9.140625" style="1" customWidth="1"/>
    <col min="4" max="4" width="60.8515625" style="1" customWidth="1"/>
    <col min="5" max="5" width="16.7109375" style="1" customWidth="1"/>
    <col min="6" max="6" width="20.57421875" style="1" customWidth="1"/>
    <col min="7" max="7" width="15.140625" style="1" customWidth="1"/>
    <col min="8" max="8" width="11.57421875" style="1" customWidth="1"/>
    <col min="9" max="9" width="5.28125" style="1" customWidth="1"/>
    <col min="10" max="10" width="14.421875" style="1" customWidth="1"/>
    <col min="11" max="11" width="4.8515625" style="1" customWidth="1"/>
    <col min="12" max="12" width="9.140625" style="1" customWidth="1"/>
    <col min="13" max="13" width="4.8515625" style="1" customWidth="1"/>
    <col min="14" max="25" width="9.140625" style="1" customWidth="1"/>
    <col min="26" max="54" width="9.140625" style="177" customWidth="1"/>
    <col min="55" max="16384" width="9.140625" style="1" customWidth="1"/>
  </cols>
  <sheetData>
    <row r="1" spans="1:54" s="6" customFormat="1" ht="47.25" customHeight="1">
      <c r="A1" s="160"/>
      <c r="B1" s="160"/>
      <c r="C1" s="251"/>
      <c r="D1" s="251"/>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row>
    <row r="2" spans="1:25" ht="15">
      <c r="A2" s="161"/>
      <c r="B2" s="161"/>
      <c r="C2" s="268" t="s">
        <v>329</v>
      </c>
      <c r="D2" s="268"/>
      <c r="E2" s="6"/>
      <c r="F2" s="6"/>
      <c r="G2" s="6"/>
      <c r="H2" s="6"/>
      <c r="I2" s="6"/>
      <c r="J2" s="6"/>
      <c r="K2" s="6"/>
      <c r="L2" s="6"/>
      <c r="M2" s="6"/>
      <c r="N2" s="6"/>
      <c r="O2" s="6"/>
      <c r="P2" s="6"/>
      <c r="Q2" s="6"/>
      <c r="R2" s="6"/>
      <c r="S2" s="6"/>
      <c r="T2" s="6"/>
      <c r="U2" s="6"/>
      <c r="V2" s="6"/>
      <c r="W2" s="6"/>
      <c r="X2" s="6"/>
      <c r="Y2" s="6"/>
    </row>
    <row r="3" spans="1:25" ht="21.75" customHeight="1">
      <c r="A3" s="161"/>
      <c r="B3" s="161"/>
      <c r="C3" s="124" t="str">
        <f>Instructions!C4</f>
        <v>Version 1.3, Last Updated: June 14, 2013 AK &amp; ZI</v>
      </c>
      <c r="D3" s="214"/>
      <c r="E3" s="6"/>
      <c r="F3" s="6"/>
      <c r="G3" s="6"/>
      <c r="H3" s="6"/>
      <c r="I3" s="6"/>
      <c r="J3" s="6"/>
      <c r="K3" s="6"/>
      <c r="L3" s="6"/>
      <c r="M3" s="6"/>
      <c r="N3" s="6"/>
      <c r="O3" s="6"/>
      <c r="P3" s="6"/>
      <c r="Q3" s="6"/>
      <c r="R3" s="6"/>
      <c r="S3" s="6"/>
      <c r="T3" s="6"/>
      <c r="U3" s="6"/>
      <c r="V3" s="6"/>
      <c r="W3" s="6"/>
      <c r="X3" s="6"/>
      <c r="Y3" s="6"/>
    </row>
    <row r="4" spans="1:25" ht="10.5" customHeight="1" thickBot="1">
      <c r="A4" s="162"/>
      <c r="B4" s="162"/>
      <c r="C4" s="5"/>
      <c r="D4" s="6"/>
      <c r="E4" s="6"/>
      <c r="F4" s="6"/>
      <c r="G4" s="6"/>
      <c r="H4" s="6"/>
      <c r="I4" s="6"/>
      <c r="J4" s="6"/>
      <c r="K4" s="6"/>
      <c r="L4" s="6"/>
      <c r="M4" s="6"/>
      <c r="N4" s="6"/>
      <c r="O4" s="6"/>
      <c r="P4" s="6"/>
      <c r="Q4" s="6"/>
      <c r="R4" s="6"/>
      <c r="S4" s="6"/>
      <c r="T4" s="6"/>
      <c r="U4" s="6"/>
      <c r="V4" s="6"/>
      <c r="W4" s="6"/>
      <c r="X4" s="6"/>
      <c r="Y4" s="6"/>
    </row>
    <row r="5" spans="1:25" ht="31.5" customHeight="1">
      <c r="A5" s="163"/>
      <c r="B5" s="163"/>
      <c r="C5" s="256" t="s">
        <v>323</v>
      </c>
      <c r="D5" s="257"/>
      <c r="E5" s="257"/>
      <c r="F5" s="257"/>
      <c r="G5" s="258"/>
      <c r="H5" s="6"/>
      <c r="I5" s="6"/>
      <c r="J5" s="6"/>
      <c r="K5" s="6"/>
      <c r="L5" s="6"/>
      <c r="M5" s="6"/>
      <c r="N5" s="6"/>
      <c r="O5" s="6"/>
      <c r="P5" s="6"/>
      <c r="Q5" s="6"/>
      <c r="R5" s="6"/>
      <c r="S5" s="6"/>
      <c r="T5" s="6"/>
      <c r="U5" s="6"/>
      <c r="V5" s="6"/>
      <c r="W5" s="6"/>
      <c r="X5" s="6"/>
      <c r="Y5" s="6"/>
    </row>
    <row r="6" spans="1:25" ht="330.75">
      <c r="A6" s="162"/>
      <c r="B6" s="162"/>
      <c r="C6" s="259" t="s">
        <v>330</v>
      </c>
      <c r="D6" s="260"/>
      <c r="E6" s="260"/>
      <c r="F6" s="260"/>
      <c r="G6" s="261"/>
      <c r="H6" s="6"/>
      <c r="I6" s="6"/>
      <c r="J6" s="6"/>
      <c r="K6" s="6"/>
      <c r="L6" s="6"/>
      <c r="M6" s="6"/>
      <c r="N6" s="6"/>
      <c r="O6" s="6"/>
      <c r="P6" s="6"/>
      <c r="Q6" s="6"/>
      <c r="R6" s="6"/>
      <c r="S6" s="6"/>
      <c r="T6" s="6"/>
      <c r="U6" s="6"/>
      <c r="V6" s="6"/>
      <c r="W6" s="6"/>
      <c r="X6" s="6"/>
      <c r="Y6" s="6"/>
    </row>
    <row r="7" spans="1:25" ht="33" customHeight="1">
      <c r="A7" s="163"/>
      <c r="B7" s="163"/>
      <c r="C7" s="262" t="s">
        <v>331</v>
      </c>
      <c r="D7" s="263"/>
      <c r="E7" s="263"/>
      <c r="F7" s="263"/>
      <c r="G7" s="264"/>
      <c r="H7" s="6"/>
      <c r="I7" s="6"/>
      <c r="J7" s="6"/>
      <c r="K7" s="6"/>
      <c r="L7" s="6"/>
      <c r="M7" s="6"/>
      <c r="N7" s="6"/>
      <c r="O7" s="6"/>
      <c r="P7" s="6"/>
      <c r="Q7" s="6"/>
      <c r="R7" s="6"/>
      <c r="S7" s="6"/>
      <c r="T7" s="6"/>
      <c r="U7" s="6"/>
      <c r="V7" s="6"/>
      <c r="W7" s="6"/>
      <c r="X7" s="6"/>
      <c r="Y7" s="6"/>
    </row>
    <row r="8" spans="1:25" ht="16.5" thickBot="1">
      <c r="A8" s="163"/>
      <c r="B8" s="163"/>
      <c r="C8" s="265" t="s">
        <v>332</v>
      </c>
      <c r="D8" s="266"/>
      <c r="E8" s="266"/>
      <c r="F8" s="266"/>
      <c r="G8" s="267"/>
      <c r="H8" s="6"/>
      <c r="I8" s="6"/>
      <c r="J8" s="6"/>
      <c r="K8" s="6"/>
      <c r="L8" s="6"/>
      <c r="M8" s="6"/>
      <c r="N8" s="6"/>
      <c r="O8" s="6"/>
      <c r="P8" s="6"/>
      <c r="Q8" s="6"/>
      <c r="R8" s="6"/>
      <c r="S8" s="6"/>
      <c r="T8" s="6"/>
      <c r="U8" s="6"/>
      <c r="V8" s="6"/>
      <c r="W8" s="6"/>
      <c r="X8" s="6"/>
      <c r="Y8" s="6"/>
    </row>
    <row r="9" spans="1:25" ht="18" thickBot="1">
      <c r="A9" s="163"/>
      <c r="B9" s="163"/>
      <c r="C9" s="165"/>
      <c r="D9" s="166"/>
      <c r="E9" s="166"/>
      <c r="F9" s="166"/>
      <c r="G9" s="166"/>
      <c r="H9" s="6"/>
      <c r="I9" s="6"/>
      <c r="J9" s="6"/>
      <c r="K9" s="6"/>
      <c r="L9" s="6"/>
      <c r="M9" s="6"/>
      <c r="N9" s="6"/>
      <c r="O9" s="6"/>
      <c r="P9" s="6"/>
      <c r="Q9" s="6"/>
      <c r="R9" s="6"/>
      <c r="S9" s="6"/>
      <c r="T9" s="6"/>
      <c r="U9" s="6"/>
      <c r="V9" s="6"/>
      <c r="W9" s="6"/>
      <c r="X9" s="6"/>
      <c r="Y9" s="6"/>
    </row>
    <row r="10" spans="1:54" s="125" customFormat="1" ht="19.5" thickBot="1">
      <c r="A10" s="163"/>
      <c r="B10" s="163"/>
      <c r="C10" s="5" t="s">
        <v>145</v>
      </c>
      <c r="D10" s="126"/>
      <c r="E10" s="124"/>
      <c r="F10" s="124"/>
      <c r="G10" s="124"/>
      <c r="H10" s="178"/>
      <c r="I10" s="248" t="s">
        <v>285</v>
      </c>
      <c r="J10" s="249"/>
      <c r="K10" s="249"/>
      <c r="L10" s="249"/>
      <c r="M10" s="250"/>
      <c r="N10" s="178"/>
      <c r="O10" s="178"/>
      <c r="P10" s="124"/>
      <c r="Q10" s="124"/>
      <c r="R10" s="124"/>
      <c r="S10" s="124"/>
      <c r="T10" s="124"/>
      <c r="U10" s="124"/>
      <c r="V10" s="124"/>
      <c r="W10" s="124"/>
      <c r="X10" s="124"/>
      <c r="Y10" s="124"/>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row>
    <row r="11" spans="1:25" ht="16.5" thickBot="1">
      <c r="A11" s="163"/>
      <c r="B11" s="163"/>
      <c r="C11" s="54"/>
      <c r="D11" s="55" t="s">
        <v>144</v>
      </c>
      <c r="E11" s="56"/>
      <c r="F11" s="56"/>
      <c r="G11" s="57"/>
      <c r="H11" s="177"/>
      <c r="I11" s="192">
        <v>1</v>
      </c>
      <c r="J11" s="193" t="s">
        <v>150</v>
      </c>
      <c r="K11" s="194" t="s">
        <v>121</v>
      </c>
      <c r="L11" s="193">
        <f>I11*0.4536</f>
        <v>0.4536</v>
      </c>
      <c r="M11" s="195" t="s">
        <v>151</v>
      </c>
      <c r="N11" s="177"/>
      <c r="O11" s="177"/>
      <c r="P11" s="6"/>
      <c r="Q11" s="6"/>
      <c r="R11" s="6"/>
      <c r="S11" s="6"/>
      <c r="T11" s="6"/>
      <c r="U11" s="6"/>
      <c r="V11" s="6"/>
      <c r="W11" s="6"/>
      <c r="X11" s="6"/>
      <c r="Y11" s="6"/>
    </row>
    <row r="12" spans="1:25" ht="19.5" customHeight="1">
      <c r="A12" s="163"/>
      <c r="B12" s="163"/>
      <c r="C12" s="58"/>
      <c r="D12" s="63" t="s">
        <v>86</v>
      </c>
      <c r="E12" s="252"/>
      <c r="F12" s="253"/>
      <c r="G12" s="59"/>
      <c r="H12" s="177"/>
      <c r="I12" s="139">
        <v>1</v>
      </c>
      <c r="J12" s="136" t="s">
        <v>152</v>
      </c>
      <c r="K12" s="137" t="s">
        <v>121</v>
      </c>
      <c r="L12" s="136">
        <f>I12*907.18474</f>
        <v>907.18474</v>
      </c>
      <c r="M12" s="140" t="s">
        <v>151</v>
      </c>
      <c r="N12" s="177"/>
      <c r="O12" s="177"/>
      <c r="P12" s="6"/>
      <c r="Q12" s="6"/>
      <c r="R12" s="6"/>
      <c r="S12" s="6"/>
      <c r="T12" s="6"/>
      <c r="U12" s="6"/>
      <c r="V12" s="6"/>
      <c r="W12" s="6"/>
      <c r="X12" s="6"/>
      <c r="Y12" s="6"/>
    </row>
    <row r="13" spans="3:25" ht="19.5" customHeight="1">
      <c r="C13" s="58"/>
      <c r="D13" s="64" t="s">
        <v>92</v>
      </c>
      <c r="E13" s="254"/>
      <c r="F13" s="255"/>
      <c r="G13" s="59"/>
      <c r="H13" s="177"/>
      <c r="I13" s="139">
        <v>1</v>
      </c>
      <c r="J13" s="136" t="s">
        <v>153</v>
      </c>
      <c r="K13" s="137" t="s">
        <v>121</v>
      </c>
      <c r="L13" s="136">
        <f>I13*1016.046909</f>
        <v>1016.046909</v>
      </c>
      <c r="M13" s="140" t="s">
        <v>151</v>
      </c>
      <c r="N13" s="177"/>
      <c r="O13" s="177"/>
      <c r="P13" s="6"/>
      <c r="Q13" s="6"/>
      <c r="R13" s="6"/>
      <c r="S13" s="6"/>
      <c r="T13" s="6"/>
      <c r="U13" s="6"/>
      <c r="V13" s="6"/>
      <c r="W13" s="6"/>
      <c r="X13" s="6"/>
      <c r="Y13" s="6"/>
    </row>
    <row r="14" spans="3:25" ht="19.5" customHeight="1">
      <c r="C14" s="58"/>
      <c r="D14" s="64" t="s">
        <v>97</v>
      </c>
      <c r="E14" s="254"/>
      <c r="F14" s="255"/>
      <c r="G14" s="59"/>
      <c r="H14" s="177"/>
      <c r="I14" s="139">
        <v>1</v>
      </c>
      <c r="J14" s="136" t="s">
        <v>154</v>
      </c>
      <c r="K14" s="137" t="s">
        <v>121</v>
      </c>
      <c r="L14" s="136">
        <f>I14*1000</f>
        <v>1000</v>
      </c>
      <c r="M14" s="140" t="s">
        <v>151</v>
      </c>
      <c r="N14" s="177"/>
      <c r="O14" s="177"/>
      <c r="P14" s="6"/>
      <c r="Q14" s="6"/>
      <c r="R14" s="6"/>
      <c r="S14" s="6"/>
      <c r="T14" s="6"/>
      <c r="U14" s="6"/>
      <c r="V14" s="6"/>
      <c r="W14" s="6"/>
      <c r="X14" s="6"/>
      <c r="Y14" s="6"/>
    </row>
    <row r="15" spans="3:25" ht="19.5" customHeight="1">
      <c r="C15" s="58"/>
      <c r="D15" s="64" t="s">
        <v>101</v>
      </c>
      <c r="E15" s="254"/>
      <c r="F15" s="255"/>
      <c r="G15" s="59"/>
      <c r="H15" s="177"/>
      <c r="I15" s="143">
        <v>1</v>
      </c>
      <c r="J15" s="138" t="s">
        <v>169</v>
      </c>
      <c r="K15" s="142" t="s">
        <v>121</v>
      </c>
      <c r="L15" s="138">
        <f>I15/35.314667</f>
        <v>0.028316846368677356</v>
      </c>
      <c r="M15" s="141" t="s">
        <v>170</v>
      </c>
      <c r="N15" s="177"/>
      <c r="O15" s="177"/>
      <c r="P15" s="6"/>
      <c r="Q15" s="6"/>
      <c r="R15" s="6"/>
      <c r="S15" s="6"/>
      <c r="T15" s="6"/>
      <c r="U15" s="6"/>
      <c r="V15" s="6"/>
      <c r="W15" s="6"/>
      <c r="X15" s="6"/>
      <c r="Y15" s="6"/>
    </row>
    <row r="16" spans="3:25" ht="19.5" customHeight="1">
      <c r="C16" s="58"/>
      <c r="D16" s="64" t="s">
        <v>103</v>
      </c>
      <c r="E16" s="150"/>
      <c r="F16" s="159" t="s">
        <v>102</v>
      </c>
      <c r="G16" s="59"/>
      <c r="H16" s="177"/>
      <c r="I16" s="143">
        <v>1</v>
      </c>
      <c r="J16" s="138" t="s">
        <v>147</v>
      </c>
      <c r="K16" s="142" t="s">
        <v>121</v>
      </c>
      <c r="L16" s="138">
        <f>I16*0.083333333/35.314667</f>
        <v>0.0023597371879508305</v>
      </c>
      <c r="M16" s="141" t="s">
        <v>170</v>
      </c>
      <c r="N16" s="177"/>
      <c r="O16" s="177"/>
      <c r="P16" s="6"/>
      <c r="Q16" s="6"/>
      <c r="R16" s="6"/>
      <c r="S16" s="6"/>
      <c r="T16" s="6"/>
      <c r="U16" s="6"/>
      <c r="V16" s="6"/>
      <c r="W16" s="6"/>
      <c r="X16" s="6"/>
      <c r="Y16" s="6"/>
    </row>
    <row r="17" spans="3:25" ht="19.5" customHeight="1">
      <c r="C17" s="58"/>
      <c r="D17" s="64" t="s">
        <v>104</v>
      </c>
      <c r="E17" s="269"/>
      <c r="F17" s="270"/>
      <c r="G17" s="59"/>
      <c r="H17" s="177"/>
      <c r="I17" s="143">
        <v>1</v>
      </c>
      <c r="J17" s="138" t="s">
        <v>170</v>
      </c>
      <c r="K17" s="142" t="s">
        <v>121</v>
      </c>
      <c r="L17" s="138">
        <f>I17*1000</f>
        <v>1000</v>
      </c>
      <c r="M17" s="141" t="s">
        <v>148</v>
      </c>
      <c r="N17" s="177"/>
      <c r="O17" s="177"/>
      <c r="P17" s="6"/>
      <c r="Q17" s="6"/>
      <c r="R17" s="6"/>
      <c r="S17" s="6"/>
      <c r="T17" s="6"/>
      <c r="U17" s="6"/>
      <c r="V17" s="6"/>
      <c r="W17" s="6"/>
      <c r="X17" s="6"/>
      <c r="Y17" s="6"/>
    </row>
    <row r="18" spans="3:25" ht="19.5" customHeight="1" thickBot="1">
      <c r="C18" s="58"/>
      <c r="D18" s="64" t="s">
        <v>109</v>
      </c>
      <c r="E18" s="191"/>
      <c r="F18" s="159" t="s">
        <v>118</v>
      </c>
      <c r="G18" s="59"/>
      <c r="H18" s="177"/>
      <c r="I18" s="196">
        <v>1</v>
      </c>
      <c r="J18" s="197" t="s">
        <v>149</v>
      </c>
      <c r="K18" s="198" t="s">
        <v>121</v>
      </c>
      <c r="L18" s="197">
        <f>I18*3.785431</f>
        <v>3.785431</v>
      </c>
      <c r="M18" s="199" t="s">
        <v>148</v>
      </c>
      <c r="N18" s="177"/>
      <c r="O18" s="177"/>
      <c r="P18" s="6"/>
      <c r="Q18" s="6"/>
      <c r="R18" s="6"/>
      <c r="S18" s="6"/>
      <c r="T18" s="6"/>
      <c r="U18" s="6"/>
      <c r="V18" s="6"/>
      <c r="W18" s="6"/>
      <c r="X18" s="6"/>
      <c r="Y18" s="6"/>
    </row>
    <row r="19" spans="3:25" ht="19.5" customHeight="1">
      <c r="C19" s="58"/>
      <c r="D19" s="217" t="s">
        <v>324</v>
      </c>
      <c r="E19" s="191"/>
      <c r="F19" s="159" t="s">
        <v>102</v>
      </c>
      <c r="G19" s="59"/>
      <c r="H19" s="177"/>
      <c r="I19" s="177"/>
      <c r="J19" s="177"/>
      <c r="K19" s="6"/>
      <c r="L19" s="6"/>
      <c r="M19" s="6"/>
      <c r="N19" s="6"/>
      <c r="O19" s="6"/>
      <c r="P19" s="6"/>
      <c r="Q19" s="6"/>
      <c r="R19" s="6"/>
      <c r="S19" s="6"/>
      <c r="T19" s="6"/>
      <c r="U19" s="6"/>
      <c r="V19" s="6"/>
      <c r="W19" s="6"/>
      <c r="X19" s="6"/>
      <c r="Y19" s="6"/>
    </row>
    <row r="20" spans="3:25" ht="19.5" customHeight="1">
      <c r="C20" s="58"/>
      <c r="D20" s="64" t="s">
        <v>116</v>
      </c>
      <c r="E20" s="191"/>
      <c r="F20" s="159" t="s">
        <v>117</v>
      </c>
      <c r="G20" s="59"/>
      <c r="H20" s="177"/>
      <c r="I20" s="177"/>
      <c r="J20" s="177"/>
      <c r="K20" s="6"/>
      <c r="L20" s="6"/>
      <c r="M20" s="6"/>
      <c r="N20" s="6"/>
      <c r="O20" s="6"/>
      <c r="P20" s="6"/>
      <c r="Q20" s="6"/>
      <c r="R20" s="6"/>
      <c r="S20" s="6"/>
      <c r="T20" s="6"/>
      <c r="U20" s="6"/>
      <c r="V20" s="6"/>
      <c r="W20" s="6"/>
      <c r="X20" s="6"/>
      <c r="Y20" s="6"/>
    </row>
    <row r="21" spans="3:25" ht="19.5" customHeight="1">
      <c r="C21" s="58"/>
      <c r="D21" s="217" t="s">
        <v>325</v>
      </c>
      <c r="E21" s="191"/>
      <c r="F21" s="159" t="s">
        <v>102</v>
      </c>
      <c r="G21" s="59"/>
      <c r="H21" s="177"/>
      <c r="I21" s="177"/>
      <c r="J21" s="177"/>
      <c r="K21" s="6"/>
      <c r="L21" s="6"/>
      <c r="M21" s="6"/>
      <c r="N21" s="6"/>
      <c r="O21" s="6"/>
      <c r="P21" s="6"/>
      <c r="Q21" s="6"/>
      <c r="R21" s="6"/>
      <c r="S21" s="6"/>
      <c r="T21" s="6"/>
      <c r="U21" s="6"/>
      <c r="V21" s="6"/>
      <c r="W21" s="6"/>
      <c r="X21" s="6"/>
      <c r="Y21" s="6"/>
    </row>
    <row r="22" spans="3:25" ht="19.5" customHeight="1" thickBot="1">
      <c r="C22" s="58"/>
      <c r="D22" s="65" t="s">
        <v>111</v>
      </c>
      <c r="E22" s="276"/>
      <c r="F22" s="277"/>
      <c r="G22" s="59"/>
      <c r="H22" s="177"/>
      <c r="I22" s="177"/>
      <c r="J22" s="177"/>
      <c r="K22" s="6"/>
      <c r="L22" s="6"/>
      <c r="M22" s="6"/>
      <c r="N22" s="6"/>
      <c r="O22" s="6"/>
      <c r="P22" s="6"/>
      <c r="Q22" s="6"/>
      <c r="R22" s="6"/>
      <c r="S22" s="6"/>
      <c r="T22" s="6"/>
      <c r="U22" s="6"/>
      <c r="V22" s="6"/>
      <c r="W22" s="6"/>
      <c r="X22" s="6"/>
      <c r="Y22" s="6"/>
    </row>
    <row r="23" spans="3:25" ht="15.75" thickBot="1">
      <c r="C23" s="60"/>
      <c r="D23" s="61"/>
      <c r="E23" s="61"/>
      <c r="F23" s="61"/>
      <c r="G23" s="62"/>
      <c r="H23" s="6"/>
      <c r="I23" s="6"/>
      <c r="J23" s="6"/>
      <c r="K23" s="6"/>
      <c r="L23" s="6"/>
      <c r="M23" s="6"/>
      <c r="N23" s="6"/>
      <c r="O23" s="6"/>
      <c r="P23" s="6"/>
      <c r="Q23" s="6"/>
      <c r="R23" s="6"/>
      <c r="S23" s="6"/>
      <c r="T23" s="6"/>
      <c r="U23" s="6"/>
      <c r="V23" s="6"/>
      <c r="W23" s="6"/>
      <c r="X23" s="6"/>
      <c r="Y23" s="6"/>
    </row>
    <row r="24" spans="3:25" ht="15.75" thickBot="1">
      <c r="C24" s="6"/>
      <c r="D24" s="6"/>
      <c r="E24" s="6"/>
      <c r="F24" s="6"/>
      <c r="G24" s="6"/>
      <c r="H24" s="6"/>
      <c r="I24" s="6"/>
      <c r="J24" s="6"/>
      <c r="K24" s="6"/>
      <c r="L24" s="6"/>
      <c r="M24" s="6"/>
      <c r="N24" s="6"/>
      <c r="O24" s="6"/>
      <c r="P24" s="6"/>
      <c r="Q24" s="6"/>
      <c r="R24" s="6"/>
      <c r="S24" s="6"/>
      <c r="T24" s="6"/>
      <c r="U24" s="6"/>
      <c r="V24" s="6"/>
      <c r="W24" s="6"/>
      <c r="X24" s="6"/>
      <c r="Y24" s="6"/>
    </row>
    <row r="25" spans="3:22" ht="15.75" thickBot="1">
      <c r="C25" s="66"/>
      <c r="D25" s="67" t="s">
        <v>287</v>
      </c>
      <c r="E25" s="68"/>
      <c r="F25" s="68"/>
      <c r="G25" s="68"/>
      <c r="H25" s="170"/>
      <c r="I25" s="171"/>
      <c r="J25" s="6"/>
      <c r="K25" s="6"/>
      <c r="L25" s="6"/>
      <c r="M25" s="6"/>
      <c r="N25" s="6"/>
      <c r="O25" s="6"/>
      <c r="P25" s="6"/>
      <c r="Q25" s="6"/>
      <c r="R25" s="6"/>
      <c r="S25" s="6"/>
      <c r="T25" s="6"/>
      <c r="U25" s="6"/>
      <c r="V25" s="6"/>
    </row>
    <row r="26" spans="3:22" ht="18" thickBot="1">
      <c r="C26" s="69"/>
      <c r="D26" s="271" t="s">
        <v>288</v>
      </c>
      <c r="E26" s="273" t="s">
        <v>296</v>
      </c>
      <c r="F26" s="274"/>
      <c r="G26" s="274"/>
      <c r="H26" s="275"/>
      <c r="I26" s="172"/>
      <c r="J26" s="6"/>
      <c r="K26" s="6"/>
      <c r="L26" s="6"/>
      <c r="M26" s="6"/>
      <c r="N26" s="6"/>
      <c r="O26" s="6"/>
      <c r="P26" s="6"/>
      <c r="Q26" s="6"/>
      <c r="R26" s="6"/>
      <c r="S26" s="6"/>
      <c r="T26" s="6"/>
      <c r="U26" s="6"/>
      <c r="V26" s="6"/>
    </row>
    <row r="27" spans="3:22" ht="36" customHeight="1" thickBot="1">
      <c r="C27" s="69"/>
      <c r="D27" s="272"/>
      <c r="E27" s="169" t="s">
        <v>298</v>
      </c>
      <c r="F27" s="169" t="s">
        <v>315</v>
      </c>
      <c r="G27" s="169" t="s">
        <v>316</v>
      </c>
      <c r="H27" s="169" t="s">
        <v>317</v>
      </c>
      <c r="I27" s="172"/>
      <c r="J27" s="6"/>
      <c r="K27" s="6"/>
      <c r="L27" s="6"/>
      <c r="M27" s="6"/>
      <c r="N27" s="6"/>
      <c r="O27" s="6"/>
      <c r="P27" s="6"/>
      <c r="Q27" s="6"/>
      <c r="R27" s="6"/>
      <c r="S27" s="6"/>
      <c r="T27" s="6"/>
      <c r="U27" s="6"/>
      <c r="V27" s="6"/>
    </row>
    <row r="28" spans="3:22" ht="15">
      <c r="C28" s="69"/>
      <c r="D28" s="167" t="s">
        <v>35</v>
      </c>
      <c r="E28" s="186">
        <f>'All Substances'!E9</f>
        <v>0</v>
      </c>
      <c r="F28" s="186">
        <f>'All Substances'!F9</f>
        <v>0</v>
      </c>
      <c r="G28" s="186">
        <f>'All Substances'!G9</f>
        <v>0</v>
      </c>
      <c r="H28" s="186">
        <f>'All Substances'!H9</f>
        <v>0</v>
      </c>
      <c r="I28" s="172"/>
      <c r="J28" s="6"/>
      <c r="K28" s="6"/>
      <c r="L28" s="6"/>
      <c r="M28" s="6"/>
      <c r="N28" s="6"/>
      <c r="O28" s="6"/>
      <c r="P28" s="6"/>
      <c r="Q28" s="6"/>
      <c r="R28" s="6"/>
      <c r="S28" s="6"/>
      <c r="T28" s="6"/>
      <c r="U28" s="6"/>
      <c r="V28" s="6"/>
    </row>
    <row r="29" spans="3:22" ht="15">
      <c r="C29" s="69"/>
      <c r="D29" s="184" t="s">
        <v>312</v>
      </c>
      <c r="E29" s="186">
        <f>'All Substances'!E10</f>
        <v>0</v>
      </c>
      <c r="F29" s="186">
        <f>'All Substances'!F10</f>
        <v>0</v>
      </c>
      <c r="G29" s="186">
        <f>'All Substances'!G10</f>
        <v>0</v>
      </c>
      <c r="H29" s="186">
        <f>'All Substances'!H10</f>
        <v>0</v>
      </c>
      <c r="I29" s="172"/>
      <c r="J29" s="6"/>
      <c r="K29" s="6"/>
      <c r="L29" s="6"/>
      <c r="M29" s="6"/>
      <c r="N29" s="6"/>
      <c r="O29" s="6"/>
      <c r="P29" s="6"/>
      <c r="Q29" s="6"/>
      <c r="R29" s="6"/>
      <c r="S29" s="6"/>
      <c r="T29" s="6"/>
      <c r="U29" s="6"/>
      <c r="V29" s="6"/>
    </row>
    <row r="30" spans="3:22" ht="15">
      <c r="C30" s="69"/>
      <c r="D30" s="167" t="s">
        <v>49</v>
      </c>
      <c r="E30" s="186">
        <f>'All Substances'!E11</f>
        <v>0</v>
      </c>
      <c r="F30" s="186">
        <f>'All Substances'!F11</f>
        <v>0</v>
      </c>
      <c r="G30" s="186">
        <f>'All Substances'!G11</f>
        <v>0</v>
      </c>
      <c r="H30" s="186">
        <f>'All Substances'!H11</f>
        <v>0</v>
      </c>
      <c r="I30" s="172"/>
      <c r="J30" s="6"/>
      <c r="K30" s="6"/>
      <c r="L30" s="6"/>
      <c r="M30" s="6"/>
      <c r="N30" s="6"/>
      <c r="O30" s="6"/>
      <c r="P30" s="6"/>
      <c r="Q30" s="6"/>
      <c r="R30" s="6"/>
      <c r="S30" s="6"/>
      <c r="T30" s="6"/>
      <c r="U30" s="6"/>
      <c r="V30" s="6"/>
    </row>
    <row r="31" spans="3:22" ht="15">
      <c r="C31" s="69"/>
      <c r="D31" s="167" t="s">
        <v>39</v>
      </c>
      <c r="E31" s="186">
        <f>'All Substances'!E12</f>
        <v>0</v>
      </c>
      <c r="F31" s="186">
        <f>'All Substances'!F12</f>
        <v>0</v>
      </c>
      <c r="G31" s="186">
        <f>'All Substances'!G12</f>
        <v>0</v>
      </c>
      <c r="H31" s="186">
        <f>'All Substances'!H12</f>
        <v>0</v>
      </c>
      <c r="I31" s="172"/>
      <c r="J31" s="6"/>
      <c r="K31" s="6"/>
      <c r="L31" s="6"/>
      <c r="M31" s="6"/>
      <c r="N31" s="6"/>
      <c r="O31" s="6"/>
      <c r="P31" s="6"/>
      <c r="Q31" s="6"/>
      <c r="R31" s="6"/>
      <c r="S31" s="6"/>
      <c r="T31" s="6"/>
      <c r="U31" s="6"/>
      <c r="V31" s="6"/>
    </row>
    <row r="32" spans="3:22" ht="15">
      <c r="C32" s="69"/>
      <c r="D32" s="167" t="s">
        <v>31</v>
      </c>
      <c r="E32" s="186">
        <f>'All Substances'!E13</f>
        <v>0</v>
      </c>
      <c r="F32" s="186">
        <f>'All Substances'!F13</f>
        <v>0</v>
      </c>
      <c r="G32" s="186">
        <f>'All Substances'!G13</f>
        <v>0</v>
      </c>
      <c r="H32" s="186">
        <f>'All Substances'!H13</f>
        <v>0</v>
      </c>
      <c r="I32" s="172"/>
      <c r="J32" s="6"/>
      <c r="K32" s="6"/>
      <c r="L32" s="6"/>
      <c r="M32" s="6"/>
      <c r="N32" s="6"/>
      <c r="O32" s="6"/>
      <c r="P32" s="6"/>
      <c r="Q32" s="6"/>
      <c r="R32" s="6"/>
      <c r="S32" s="6"/>
      <c r="T32" s="6"/>
      <c r="U32" s="6"/>
      <c r="V32" s="6"/>
    </row>
    <row r="33" spans="3:22" ht="15">
      <c r="C33" s="69"/>
      <c r="D33" s="184" t="s">
        <v>313</v>
      </c>
      <c r="E33" s="186">
        <f>'All Substances'!E14</f>
        <v>0</v>
      </c>
      <c r="F33" s="186">
        <f>'All Substances'!F14</f>
        <v>0</v>
      </c>
      <c r="G33" s="186">
        <f>'All Substances'!G14</f>
        <v>0</v>
      </c>
      <c r="H33" s="186">
        <f>'All Substances'!H14</f>
        <v>0</v>
      </c>
      <c r="I33" s="172"/>
      <c r="J33" s="6"/>
      <c r="K33" s="6"/>
      <c r="L33" s="6"/>
      <c r="M33" s="6"/>
      <c r="N33" s="6"/>
      <c r="O33" s="6"/>
      <c r="P33" s="6"/>
      <c r="Q33" s="6"/>
      <c r="R33" s="6"/>
      <c r="S33" s="6"/>
      <c r="T33" s="6"/>
      <c r="U33" s="6"/>
      <c r="V33" s="6"/>
    </row>
    <row r="34" spans="3:22" ht="15.75" thickBot="1">
      <c r="C34" s="69"/>
      <c r="D34" s="185" t="s">
        <v>321</v>
      </c>
      <c r="E34" s="187">
        <f>'All Substances'!E15</f>
        <v>0</v>
      </c>
      <c r="F34" s="187">
        <f>'All Substances'!F15</f>
        <v>0</v>
      </c>
      <c r="G34" s="187">
        <f>'All Substances'!G15</f>
        <v>0</v>
      </c>
      <c r="H34" s="187">
        <f>'All Substances'!H15</f>
        <v>0</v>
      </c>
      <c r="I34" s="172"/>
      <c r="J34" s="6"/>
      <c r="K34" s="6"/>
      <c r="L34" s="6"/>
      <c r="M34" s="6"/>
      <c r="N34" s="6"/>
      <c r="O34" s="6"/>
      <c r="P34" s="6"/>
      <c r="Q34" s="6"/>
      <c r="R34" s="6"/>
      <c r="S34" s="6"/>
      <c r="T34" s="6"/>
      <c r="U34" s="6"/>
      <c r="V34" s="6"/>
    </row>
    <row r="35" spans="3:22" ht="17.25">
      <c r="C35" s="69"/>
      <c r="D35" s="232" t="s">
        <v>333</v>
      </c>
      <c r="E35" s="168"/>
      <c r="F35" s="174"/>
      <c r="G35" s="170"/>
      <c r="H35" s="175"/>
      <c r="I35" s="172"/>
      <c r="J35" s="6"/>
      <c r="K35" s="6"/>
      <c r="L35" s="6"/>
      <c r="M35" s="6"/>
      <c r="N35" s="6"/>
      <c r="O35" s="6"/>
      <c r="P35" s="6"/>
      <c r="Q35" s="6"/>
      <c r="R35" s="6"/>
      <c r="S35" s="6"/>
      <c r="T35" s="6"/>
      <c r="U35" s="6"/>
      <c r="V35" s="6"/>
    </row>
    <row r="36" spans="3:22" ht="15">
      <c r="C36" s="69"/>
      <c r="D36" s="175"/>
      <c r="E36" s="168"/>
      <c r="F36" s="174"/>
      <c r="G36" s="175"/>
      <c r="H36" s="175"/>
      <c r="I36" s="172"/>
      <c r="J36" s="6"/>
      <c r="K36" s="6"/>
      <c r="L36" s="6"/>
      <c r="M36" s="6"/>
      <c r="N36" s="6"/>
      <c r="O36" s="6"/>
      <c r="P36" s="6"/>
      <c r="Q36" s="6"/>
      <c r="R36" s="6"/>
      <c r="S36" s="6"/>
      <c r="T36" s="6"/>
      <c r="U36" s="6"/>
      <c r="V36" s="6"/>
    </row>
    <row r="37" spans="3:22" ht="15.75" thickBot="1">
      <c r="C37" s="70"/>
      <c r="D37" s="71"/>
      <c r="E37" s="71"/>
      <c r="F37" s="176"/>
      <c r="G37" s="176"/>
      <c r="H37" s="176"/>
      <c r="I37" s="173"/>
      <c r="J37" s="6"/>
      <c r="K37" s="6"/>
      <c r="L37" s="6"/>
      <c r="M37" s="6"/>
      <c r="N37" s="6"/>
      <c r="O37" s="6"/>
      <c r="P37" s="6"/>
      <c r="Q37" s="6"/>
      <c r="R37" s="6"/>
      <c r="S37" s="6"/>
      <c r="T37" s="6"/>
      <c r="U37" s="6"/>
      <c r="V37" s="6"/>
    </row>
    <row r="38" spans="3:25" ht="15">
      <c r="C38" s="6"/>
      <c r="D38" s="6"/>
      <c r="E38" s="6"/>
      <c r="F38" s="6"/>
      <c r="G38" s="6"/>
      <c r="H38" s="6"/>
      <c r="I38" s="6"/>
      <c r="J38" s="6"/>
      <c r="K38" s="6"/>
      <c r="L38" s="6"/>
      <c r="M38" s="6"/>
      <c r="N38" s="6"/>
      <c r="O38" s="6"/>
      <c r="P38" s="6"/>
      <c r="Q38" s="6"/>
      <c r="R38" s="6"/>
      <c r="S38" s="6"/>
      <c r="T38" s="6"/>
      <c r="U38" s="6"/>
      <c r="V38" s="6"/>
      <c r="W38" s="6"/>
      <c r="X38" s="6"/>
      <c r="Y38" s="6"/>
    </row>
    <row r="39" spans="3:25" ht="15.75">
      <c r="C39" s="6"/>
      <c r="D39" s="6"/>
      <c r="E39" s="6"/>
      <c r="F39" s="6"/>
      <c r="G39" s="6"/>
      <c r="H39" s="6"/>
      <c r="I39" s="6"/>
      <c r="J39" s="6"/>
      <c r="K39" s="6"/>
      <c r="L39" s="6"/>
      <c r="M39" s="6"/>
      <c r="N39" s="6"/>
      <c r="O39" s="6"/>
      <c r="P39" s="6"/>
      <c r="Q39" s="6"/>
      <c r="R39" s="6"/>
      <c r="S39" s="6"/>
      <c r="T39" s="6"/>
      <c r="U39" s="6"/>
      <c r="V39" s="6"/>
      <c r="W39" s="6"/>
      <c r="X39" s="6"/>
      <c r="Y39" s="6"/>
    </row>
    <row r="40" spans="3:25" ht="15.75">
      <c r="C40" s="6"/>
      <c r="D40" s="6"/>
      <c r="E40" s="6"/>
      <c r="F40" s="6"/>
      <c r="G40" s="6"/>
      <c r="H40" s="6"/>
      <c r="I40" s="6"/>
      <c r="J40" s="6"/>
      <c r="K40" s="6"/>
      <c r="L40" s="6"/>
      <c r="M40" s="6"/>
      <c r="N40" s="6"/>
      <c r="O40" s="6"/>
      <c r="P40" s="6"/>
      <c r="Q40" s="6"/>
      <c r="R40" s="6"/>
      <c r="S40" s="6"/>
      <c r="T40" s="6"/>
      <c r="U40" s="6"/>
      <c r="V40" s="6"/>
      <c r="W40" s="6"/>
      <c r="X40" s="6"/>
      <c r="Y40" s="6"/>
    </row>
    <row r="41" spans="3:25" ht="15.75">
      <c r="C41" s="6"/>
      <c r="D41" s="6"/>
      <c r="E41" s="6"/>
      <c r="F41" s="6"/>
      <c r="G41" s="6"/>
      <c r="H41" s="6"/>
      <c r="I41" s="6"/>
      <c r="J41" s="6"/>
      <c r="K41" s="6"/>
      <c r="L41" s="6"/>
      <c r="M41" s="6"/>
      <c r="N41" s="6"/>
      <c r="O41" s="6"/>
      <c r="P41" s="6"/>
      <c r="Q41" s="6"/>
      <c r="R41" s="6"/>
      <c r="S41" s="6"/>
      <c r="T41" s="6"/>
      <c r="U41" s="6"/>
      <c r="V41" s="6"/>
      <c r="W41" s="6"/>
      <c r="X41" s="6"/>
      <c r="Y41" s="6"/>
    </row>
    <row r="42" spans="3:25" ht="15.75">
      <c r="C42" s="6"/>
      <c r="D42" s="6"/>
      <c r="E42" s="6"/>
      <c r="F42" s="6"/>
      <c r="G42" s="6"/>
      <c r="H42" s="6"/>
      <c r="I42" s="6"/>
      <c r="J42" s="6"/>
      <c r="K42" s="6"/>
      <c r="L42" s="6"/>
      <c r="M42" s="6"/>
      <c r="N42" s="6"/>
      <c r="O42" s="6"/>
      <c r="P42" s="6"/>
      <c r="Q42" s="6"/>
      <c r="R42" s="6"/>
      <c r="S42" s="6"/>
      <c r="T42" s="6"/>
      <c r="U42" s="6"/>
      <c r="V42" s="6"/>
      <c r="W42" s="6"/>
      <c r="X42" s="6"/>
      <c r="Y42" s="6"/>
    </row>
    <row r="43" spans="3:25" ht="15">
      <c r="C43" s="6"/>
      <c r="D43" s="6"/>
      <c r="E43" s="6"/>
      <c r="F43" s="6"/>
      <c r="G43" s="6"/>
      <c r="H43" s="6"/>
      <c r="I43" s="6"/>
      <c r="J43" s="6"/>
      <c r="K43" s="6"/>
      <c r="L43" s="6"/>
      <c r="M43" s="6"/>
      <c r="N43" s="6"/>
      <c r="O43" s="6"/>
      <c r="P43" s="6"/>
      <c r="Q43" s="6"/>
      <c r="R43" s="6"/>
      <c r="S43" s="6"/>
      <c r="T43" s="6"/>
      <c r="U43" s="6"/>
      <c r="V43" s="6"/>
      <c r="W43" s="6"/>
      <c r="X43" s="6"/>
      <c r="Y43" s="6"/>
    </row>
    <row r="44" spans="3:25" ht="15">
      <c r="C44" s="6"/>
      <c r="D44" s="6"/>
      <c r="E44" s="6"/>
      <c r="F44" s="6"/>
      <c r="G44" s="6"/>
      <c r="H44" s="6"/>
      <c r="I44" s="6"/>
      <c r="J44" s="6"/>
      <c r="K44" s="6"/>
      <c r="L44" s="6"/>
      <c r="M44" s="6"/>
      <c r="N44" s="6"/>
      <c r="O44" s="6"/>
      <c r="P44" s="6"/>
      <c r="Q44" s="6"/>
      <c r="R44" s="6"/>
      <c r="S44" s="6"/>
      <c r="T44" s="6"/>
      <c r="U44" s="6"/>
      <c r="V44" s="6"/>
      <c r="W44" s="6"/>
      <c r="X44" s="6"/>
      <c r="Y44" s="6"/>
    </row>
    <row r="45" spans="3:25" ht="15">
      <c r="C45" s="6"/>
      <c r="D45" s="6"/>
      <c r="E45" s="6"/>
      <c r="F45" s="6"/>
      <c r="G45" s="6"/>
      <c r="H45" s="6"/>
      <c r="I45" s="6"/>
      <c r="J45" s="6"/>
      <c r="K45" s="6"/>
      <c r="L45" s="6"/>
      <c r="M45" s="6"/>
      <c r="N45" s="6"/>
      <c r="O45" s="6"/>
      <c r="P45" s="6"/>
      <c r="Q45" s="6"/>
      <c r="R45" s="6"/>
      <c r="S45" s="6"/>
      <c r="T45" s="6"/>
      <c r="U45" s="6"/>
      <c r="V45" s="6"/>
      <c r="W45" s="6"/>
      <c r="X45" s="6"/>
      <c r="Y45" s="6"/>
    </row>
    <row r="46" spans="3:25" ht="15">
      <c r="C46" s="6"/>
      <c r="D46" s="6"/>
      <c r="E46" s="6"/>
      <c r="F46" s="6"/>
      <c r="G46" s="6"/>
      <c r="H46" s="6"/>
      <c r="I46" s="6"/>
      <c r="J46" s="6"/>
      <c r="K46" s="6"/>
      <c r="L46" s="6"/>
      <c r="M46" s="6"/>
      <c r="N46" s="6"/>
      <c r="O46" s="6"/>
      <c r="P46" s="6"/>
      <c r="Q46" s="6"/>
      <c r="R46" s="6"/>
      <c r="S46" s="6"/>
      <c r="T46" s="6"/>
      <c r="U46" s="6"/>
      <c r="V46" s="6"/>
      <c r="W46" s="6"/>
      <c r="X46" s="6"/>
      <c r="Y46" s="6"/>
    </row>
    <row r="47" spans="3:25" ht="15">
      <c r="C47" s="6"/>
      <c r="D47" s="6"/>
      <c r="E47" s="6"/>
      <c r="F47" s="6"/>
      <c r="G47" s="6"/>
      <c r="H47" s="6"/>
      <c r="I47" s="6"/>
      <c r="J47" s="6"/>
      <c r="K47" s="6"/>
      <c r="L47" s="6"/>
      <c r="M47" s="6"/>
      <c r="N47" s="6"/>
      <c r="O47" s="6"/>
      <c r="P47" s="6"/>
      <c r="Q47" s="6"/>
      <c r="R47" s="6"/>
      <c r="S47" s="6"/>
      <c r="T47" s="6"/>
      <c r="U47" s="6"/>
      <c r="V47" s="6"/>
      <c r="W47" s="6"/>
      <c r="X47" s="6"/>
      <c r="Y47" s="6"/>
    </row>
    <row r="48" spans="3:25" ht="15">
      <c r="C48" s="6"/>
      <c r="D48" s="6"/>
      <c r="E48" s="6"/>
      <c r="F48" s="6"/>
      <c r="G48" s="6"/>
      <c r="H48" s="6"/>
      <c r="I48" s="6"/>
      <c r="J48" s="6"/>
      <c r="K48" s="6"/>
      <c r="L48" s="6"/>
      <c r="M48" s="6"/>
      <c r="N48" s="6"/>
      <c r="O48" s="6"/>
      <c r="P48" s="6"/>
      <c r="Q48" s="6"/>
      <c r="R48" s="6"/>
      <c r="S48" s="6"/>
      <c r="T48" s="6"/>
      <c r="U48" s="6"/>
      <c r="V48" s="6"/>
      <c r="W48" s="6"/>
      <c r="X48" s="6"/>
      <c r="Y48" s="6"/>
    </row>
    <row r="49" spans="3:25" ht="15">
      <c r="C49" s="6"/>
      <c r="D49" s="6"/>
      <c r="E49" s="6"/>
      <c r="F49" s="6"/>
      <c r="G49" s="6"/>
      <c r="H49" s="6"/>
      <c r="I49" s="6"/>
      <c r="J49" s="6"/>
      <c r="K49" s="6"/>
      <c r="L49" s="6"/>
      <c r="M49" s="6"/>
      <c r="N49" s="6"/>
      <c r="O49" s="6"/>
      <c r="P49" s="6"/>
      <c r="Q49" s="6"/>
      <c r="R49" s="6"/>
      <c r="S49" s="6"/>
      <c r="T49" s="6"/>
      <c r="U49" s="6"/>
      <c r="V49" s="6"/>
      <c r="W49" s="6"/>
      <c r="X49" s="6"/>
      <c r="Y49" s="6"/>
    </row>
    <row r="50" spans="3:25" ht="15">
      <c r="C50" s="6"/>
      <c r="D50" s="6"/>
      <c r="E50" s="6"/>
      <c r="F50" s="6"/>
      <c r="G50" s="6"/>
      <c r="H50" s="6"/>
      <c r="I50" s="6"/>
      <c r="J50" s="6"/>
      <c r="K50" s="6"/>
      <c r="L50" s="6"/>
      <c r="M50" s="6"/>
      <c r="N50" s="6"/>
      <c r="O50" s="6"/>
      <c r="P50" s="6"/>
      <c r="Q50" s="6"/>
      <c r="R50" s="6"/>
      <c r="S50" s="6"/>
      <c r="T50" s="6"/>
      <c r="U50" s="6"/>
      <c r="V50" s="6"/>
      <c r="W50" s="6"/>
      <c r="X50" s="6"/>
      <c r="Y50" s="6"/>
    </row>
    <row r="51" spans="3:25" ht="15">
      <c r="C51" s="6"/>
      <c r="D51" s="6"/>
      <c r="E51" s="6"/>
      <c r="F51" s="6"/>
      <c r="G51" s="6"/>
      <c r="H51" s="6"/>
      <c r="I51" s="6"/>
      <c r="J51" s="6"/>
      <c r="K51" s="6"/>
      <c r="L51" s="6"/>
      <c r="M51" s="6"/>
      <c r="N51" s="6"/>
      <c r="O51" s="6"/>
      <c r="P51" s="6"/>
      <c r="Q51" s="6"/>
      <c r="R51" s="6"/>
      <c r="S51" s="6"/>
      <c r="T51" s="6"/>
      <c r="U51" s="6"/>
      <c r="V51" s="6"/>
      <c r="W51" s="6"/>
      <c r="X51" s="6"/>
      <c r="Y51" s="6"/>
    </row>
    <row r="52" spans="3:25" ht="15">
      <c r="C52" s="6"/>
      <c r="D52" s="6"/>
      <c r="E52" s="6"/>
      <c r="F52" s="6"/>
      <c r="G52" s="6"/>
      <c r="H52" s="6"/>
      <c r="I52" s="6"/>
      <c r="J52" s="6"/>
      <c r="K52" s="6"/>
      <c r="L52" s="6"/>
      <c r="M52" s="6"/>
      <c r="N52" s="6"/>
      <c r="O52" s="6"/>
      <c r="P52" s="6"/>
      <c r="Q52" s="6"/>
      <c r="R52" s="6"/>
      <c r="S52" s="6"/>
      <c r="T52" s="6"/>
      <c r="U52" s="6"/>
      <c r="V52" s="6"/>
      <c r="W52" s="6"/>
      <c r="X52" s="6"/>
      <c r="Y52" s="6"/>
    </row>
    <row r="53" spans="3:25" ht="15">
      <c r="C53" s="6"/>
      <c r="D53" s="6"/>
      <c r="E53" s="6"/>
      <c r="F53" s="6"/>
      <c r="G53" s="6"/>
      <c r="H53" s="6"/>
      <c r="I53" s="6"/>
      <c r="J53" s="6"/>
      <c r="K53" s="6"/>
      <c r="L53" s="6"/>
      <c r="M53" s="6"/>
      <c r="N53" s="6"/>
      <c r="O53" s="6"/>
      <c r="P53" s="6"/>
      <c r="Q53" s="6"/>
      <c r="R53" s="6"/>
      <c r="S53" s="6"/>
      <c r="T53" s="6"/>
      <c r="U53" s="6"/>
      <c r="V53" s="6"/>
      <c r="W53" s="6"/>
      <c r="X53" s="6"/>
      <c r="Y53" s="6"/>
    </row>
    <row r="54" spans="3:25" ht="15">
      <c r="C54" s="6"/>
      <c r="D54" s="6"/>
      <c r="E54" s="6"/>
      <c r="F54" s="6"/>
      <c r="G54" s="6"/>
      <c r="H54" s="6"/>
      <c r="I54" s="6"/>
      <c r="J54" s="6"/>
      <c r="K54" s="6"/>
      <c r="L54" s="6"/>
      <c r="M54" s="6"/>
      <c r="N54" s="6"/>
      <c r="O54" s="6"/>
      <c r="P54" s="6"/>
      <c r="Q54" s="6"/>
      <c r="R54" s="6"/>
      <c r="S54" s="6"/>
      <c r="T54" s="6"/>
      <c r="U54" s="6"/>
      <c r="V54" s="6"/>
      <c r="W54" s="6"/>
      <c r="X54" s="6"/>
      <c r="Y54" s="6"/>
    </row>
    <row r="55" spans="3:25" ht="15">
      <c r="C55" s="6"/>
      <c r="D55" s="6"/>
      <c r="E55" s="6"/>
      <c r="F55" s="6"/>
      <c r="G55" s="6"/>
      <c r="H55" s="6"/>
      <c r="I55" s="6"/>
      <c r="J55" s="6"/>
      <c r="K55" s="6"/>
      <c r="L55" s="6"/>
      <c r="M55" s="6"/>
      <c r="N55" s="6"/>
      <c r="O55" s="6"/>
      <c r="P55" s="6"/>
      <c r="Q55" s="6"/>
      <c r="R55" s="6"/>
      <c r="S55" s="6"/>
      <c r="T55" s="6"/>
      <c r="U55" s="6"/>
      <c r="V55" s="6"/>
      <c r="W55" s="6"/>
      <c r="X55" s="6"/>
      <c r="Y55" s="6"/>
    </row>
    <row r="56" spans="3:25" ht="15">
      <c r="C56" s="6"/>
      <c r="D56" s="6"/>
      <c r="E56" s="6"/>
      <c r="F56" s="6"/>
      <c r="G56" s="6"/>
      <c r="H56" s="6"/>
      <c r="I56" s="6"/>
      <c r="J56" s="6"/>
      <c r="K56" s="6"/>
      <c r="L56" s="6"/>
      <c r="M56" s="6"/>
      <c r="N56" s="6"/>
      <c r="O56" s="6"/>
      <c r="P56" s="6"/>
      <c r="Q56" s="6"/>
      <c r="R56" s="6"/>
      <c r="S56" s="6"/>
      <c r="T56" s="6"/>
      <c r="U56" s="6"/>
      <c r="V56" s="6"/>
      <c r="W56" s="6"/>
      <c r="X56" s="6"/>
      <c r="Y56" s="6"/>
    </row>
    <row r="57" spans="3:25" ht="15">
      <c r="C57" s="6"/>
      <c r="D57" s="6"/>
      <c r="E57" s="6"/>
      <c r="F57" s="6"/>
      <c r="G57" s="6"/>
      <c r="H57" s="6"/>
      <c r="I57" s="6"/>
      <c r="J57" s="6"/>
      <c r="K57" s="6"/>
      <c r="L57" s="6"/>
      <c r="M57" s="6"/>
      <c r="N57" s="6"/>
      <c r="O57" s="6"/>
      <c r="P57" s="6"/>
      <c r="Q57" s="6"/>
      <c r="R57" s="6"/>
      <c r="S57" s="6"/>
      <c r="T57" s="6"/>
      <c r="U57" s="6"/>
      <c r="V57" s="6"/>
      <c r="W57" s="6"/>
      <c r="X57" s="6"/>
      <c r="Y57" s="6"/>
    </row>
    <row r="58" spans="3:25" ht="15">
      <c r="C58" s="6"/>
      <c r="D58" s="6"/>
      <c r="E58" s="6"/>
      <c r="F58" s="6"/>
      <c r="G58" s="6"/>
      <c r="H58" s="6"/>
      <c r="I58" s="6"/>
      <c r="J58" s="6"/>
      <c r="K58" s="6"/>
      <c r="L58" s="6"/>
      <c r="M58" s="6"/>
      <c r="N58" s="6"/>
      <c r="O58" s="6"/>
      <c r="P58" s="6"/>
      <c r="Q58" s="6"/>
      <c r="R58" s="6"/>
      <c r="S58" s="6"/>
      <c r="T58" s="6"/>
      <c r="U58" s="6"/>
      <c r="V58" s="6"/>
      <c r="W58" s="6"/>
      <c r="X58" s="6"/>
      <c r="Y58" s="6"/>
    </row>
    <row r="59" spans="3:25" ht="15">
      <c r="C59" s="6"/>
      <c r="D59" s="6"/>
      <c r="E59" s="6"/>
      <c r="F59" s="6"/>
      <c r="G59" s="6"/>
      <c r="H59" s="6"/>
      <c r="I59" s="6"/>
      <c r="J59" s="6"/>
      <c r="K59" s="6"/>
      <c r="L59" s="6"/>
      <c r="M59" s="6"/>
      <c r="N59" s="6"/>
      <c r="O59" s="6"/>
      <c r="P59" s="6"/>
      <c r="Q59" s="6"/>
      <c r="R59" s="6"/>
      <c r="S59" s="6"/>
      <c r="T59" s="6"/>
      <c r="U59" s="6"/>
      <c r="V59" s="6"/>
      <c r="W59" s="6"/>
      <c r="X59" s="6"/>
      <c r="Y59" s="6"/>
    </row>
    <row r="60" spans="3:25" ht="15">
      <c r="C60" s="6"/>
      <c r="D60" s="6"/>
      <c r="E60" s="6"/>
      <c r="F60" s="6"/>
      <c r="G60" s="6"/>
      <c r="H60" s="6"/>
      <c r="I60" s="6"/>
      <c r="J60" s="6"/>
      <c r="K60" s="6"/>
      <c r="L60" s="6"/>
      <c r="M60" s="6"/>
      <c r="N60" s="6"/>
      <c r="O60" s="6"/>
      <c r="P60" s="6"/>
      <c r="Q60" s="6"/>
      <c r="R60" s="6"/>
      <c r="S60" s="6"/>
      <c r="T60" s="6"/>
      <c r="U60" s="6"/>
      <c r="V60" s="6"/>
      <c r="W60" s="6"/>
      <c r="X60" s="6"/>
      <c r="Y60" s="6"/>
    </row>
    <row r="61" spans="3:25" ht="15">
      <c r="C61" s="6"/>
      <c r="D61" s="6"/>
      <c r="E61" s="6"/>
      <c r="F61" s="6"/>
      <c r="G61" s="6"/>
      <c r="H61" s="6"/>
      <c r="I61" s="6"/>
      <c r="J61" s="6"/>
      <c r="K61" s="6"/>
      <c r="L61" s="6"/>
      <c r="M61" s="6"/>
      <c r="N61" s="6"/>
      <c r="O61" s="6"/>
      <c r="P61" s="6"/>
      <c r="Q61" s="6"/>
      <c r="R61" s="6"/>
      <c r="S61" s="6"/>
      <c r="T61" s="6"/>
      <c r="U61" s="6"/>
      <c r="V61" s="6"/>
      <c r="W61" s="6"/>
      <c r="X61" s="6"/>
      <c r="Y61" s="6"/>
    </row>
    <row r="62" spans="3:25" ht="15">
      <c r="C62" s="6"/>
      <c r="D62" s="6"/>
      <c r="E62" s="6"/>
      <c r="F62" s="6"/>
      <c r="G62" s="6"/>
      <c r="H62" s="6"/>
      <c r="I62" s="6"/>
      <c r="J62" s="6"/>
      <c r="K62" s="6"/>
      <c r="L62" s="6"/>
      <c r="M62" s="6"/>
      <c r="N62" s="6"/>
      <c r="O62" s="6"/>
      <c r="P62" s="6"/>
      <c r="Q62" s="6"/>
      <c r="R62" s="6"/>
      <c r="S62" s="6"/>
      <c r="T62" s="6"/>
      <c r="U62" s="6"/>
      <c r="V62" s="6"/>
      <c r="W62" s="6"/>
      <c r="X62" s="6"/>
      <c r="Y62" s="6"/>
    </row>
    <row r="63" spans="3:25" ht="15">
      <c r="C63" s="6"/>
      <c r="D63" s="6"/>
      <c r="E63" s="6"/>
      <c r="F63" s="6"/>
      <c r="G63" s="6"/>
      <c r="H63" s="6"/>
      <c r="I63" s="6"/>
      <c r="J63" s="6"/>
      <c r="K63" s="6"/>
      <c r="L63" s="6"/>
      <c r="M63" s="6"/>
      <c r="N63" s="6"/>
      <c r="O63" s="6"/>
      <c r="P63" s="6"/>
      <c r="Q63" s="6"/>
      <c r="R63" s="6"/>
      <c r="S63" s="6"/>
      <c r="T63" s="6"/>
      <c r="U63" s="6"/>
      <c r="V63" s="6"/>
      <c r="W63" s="6"/>
      <c r="X63" s="6"/>
      <c r="Y63" s="6"/>
    </row>
    <row r="64" spans="3:25" ht="15">
      <c r="C64" s="6"/>
      <c r="D64" s="6"/>
      <c r="E64" s="6"/>
      <c r="F64" s="6"/>
      <c r="G64" s="6"/>
      <c r="H64" s="6"/>
      <c r="I64" s="6"/>
      <c r="J64" s="6"/>
      <c r="K64" s="6"/>
      <c r="L64" s="6"/>
      <c r="M64" s="6"/>
      <c r="N64" s="6"/>
      <c r="O64" s="6"/>
      <c r="P64" s="6"/>
      <c r="Q64" s="6"/>
      <c r="R64" s="6"/>
      <c r="S64" s="6"/>
      <c r="T64" s="6"/>
      <c r="U64" s="6"/>
      <c r="V64" s="6"/>
      <c r="W64" s="6"/>
      <c r="X64" s="6"/>
      <c r="Y64" s="6"/>
    </row>
    <row r="65" spans="3:25" ht="15">
      <c r="C65" s="6"/>
      <c r="D65" s="6"/>
      <c r="E65" s="6"/>
      <c r="F65" s="6"/>
      <c r="G65" s="6"/>
      <c r="H65" s="6"/>
      <c r="I65" s="6"/>
      <c r="J65" s="6"/>
      <c r="K65" s="6"/>
      <c r="L65" s="6"/>
      <c r="M65" s="6"/>
      <c r="N65" s="6"/>
      <c r="O65" s="6"/>
      <c r="P65" s="6"/>
      <c r="Q65" s="6"/>
      <c r="R65" s="6"/>
      <c r="S65" s="6"/>
      <c r="T65" s="6"/>
      <c r="U65" s="6"/>
      <c r="V65" s="6"/>
      <c r="W65" s="6"/>
      <c r="X65" s="6"/>
      <c r="Y65" s="6"/>
    </row>
    <row r="66" spans="3:25" ht="15">
      <c r="C66" s="6"/>
      <c r="D66" s="6"/>
      <c r="E66" s="6"/>
      <c r="F66" s="6"/>
      <c r="G66" s="6"/>
      <c r="H66" s="6"/>
      <c r="I66" s="6"/>
      <c r="J66" s="6"/>
      <c r="K66" s="6"/>
      <c r="L66" s="6"/>
      <c r="M66" s="6"/>
      <c r="N66" s="6"/>
      <c r="O66" s="6"/>
      <c r="P66" s="6"/>
      <c r="Q66" s="6"/>
      <c r="R66" s="6"/>
      <c r="S66" s="6"/>
      <c r="T66" s="6"/>
      <c r="U66" s="6"/>
      <c r="V66" s="6"/>
      <c r="W66" s="6"/>
      <c r="X66" s="6"/>
      <c r="Y66" s="6"/>
    </row>
    <row r="67" spans="3:25" ht="15">
      <c r="C67" s="6"/>
      <c r="D67" s="6"/>
      <c r="E67" s="6"/>
      <c r="F67" s="6"/>
      <c r="G67" s="6"/>
      <c r="H67" s="6"/>
      <c r="I67" s="6"/>
      <c r="J67" s="6"/>
      <c r="K67" s="6"/>
      <c r="L67" s="6"/>
      <c r="M67" s="6"/>
      <c r="N67" s="6"/>
      <c r="O67" s="6"/>
      <c r="P67" s="6"/>
      <c r="Q67" s="6"/>
      <c r="R67" s="6"/>
      <c r="S67" s="6"/>
      <c r="T67" s="6"/>
      <c r="U67" s="6"/>
      <c r="V67" s="6"/>
      <c r="W67" s="6"/>
      <c r="X67" s="6"/>
      <c r="Y67" s="6"/>
    </row>
    <row r="68" spans="3:25" ht="15">
      <c r="C68" s="6"/>
      <c r="D68" s="6"/>
      <c r="E68" s="6"/>
      <c r="F68" s="6"/>
      <c r="G68" s="6"/>
      <c r="H68" s="6"/>
      <c r="I68" s="6"/>
      <c r="J68" s="6"/>
      <c r="K68" s="6"/>
      <c r="L68" s="6"/>
      <c r="M68" s="6"/>
      <c r="N68" s="6"/>
      <c r="O68" s="6"/>
      <c r="P68" s="6"/>
      <c r="Q68" s="6"/>
      <c r="R68" s="6"/>
      <c r="S68" s="6"/>
      <c r="T68" s="6"/>
      <c r="U68" s="6"/>
      <c r="V68" s="6"/>
      <c r="W68" s="6"/>
      <c r="X68" s="6"/>
      <c r="Y68" s="6"/>
    </row>
    <row r="69" spans="3:25" ht="15">
      <c r="C69" s="6"/>
      <c r="D69" s="6"/>
      <c r="E69" s="6"/>
      <c r="F69" s="6"/>
      <c r="G69" s="6"/>
      <c r="H69" s="6"/>
      <c r="I69" s="6"/>
      <c r="J69" s="6"/>
      <c r="K69" s="6"/>
      <c r="L69" s="6"/>
      <c r="M69" s="6"/>
      <c r="N69" s="6"/>
      <c r="O69" s="6"/>
      <c r="P69" s="6"/>
      <c r="Q69" s="6"/>
      <c r="R69" s="6"/>
      <c r="S69" s="6"/>
      <c r="T69" s="6"/>
      <c r="U69" s="6"/>
      <c r="V69" s="6"/>
      <c r="W69" s="6"/>
      <c r="X69" s="6"/>
      <c r="Y69" s="6"/>
    </row>
    <row r="70" spans="3:25" ht="15">
      <c r="C70" s="6"/>
      <c r="D70" s="6"/>
      <c r="E70" s="6"/>
      <c r="F70" s="6"/>
      <c r="G70" s="6"/>
      <c r="H70" s="6"/>
      <c r="I70" s="6"/>
      <c r="J70" s="6"/>
      <c r="K70" s="6"/>
      <c r="L70" s="6"/>
      <c r="M70" s="6"/>
      <c r="N70" s="6"/>
      <c r="O70" s="6"/>
      <c r="P70" s="6"/>
      <c r="Q70" s="6"/>
      <c r="R70" s="6"/>
      <c r="S70" s="6"/>
      <c r="T70" s="6"/>
      <c r="U70" s="6"/>
      <c r="V70" s="6"/>
      <c r="W70" s="6"/>
      <c r="X70" s="6"/>
      <c r="Y70" s="6"/>
    </row>
    <row r="71" spans="3:25" ht="15">
      <c r="C71" s="6"/>
      <c r="D71" s="6"/>
      <c r="E71" s="6"/>
      <c r="F71" s="6"/>
      <c r="G71" s="6"/>
      <c r="H71" s="6"/>
      <c r="I71" s="6"/>
      <c r="J71" s="6"/>
      <c r="K71" s="6"/>
      <c r="L71" s="6"/>
      <c r="M71" s="6"/>
      <c r="N71" s="6"/>
      <c r="O71" s="6"/>
      <c r="P71" s="6"/>
      <c r="Q71" s="6"/>
      <c r="R71" s="6"/>
      <c r="S71" s="6"/>
      <c r="T71" s="6"/>
      <c r="U71" s="6"/>
      <c r="V71" s="6"/>
      <c r="W71" s="6"/>
      <c r="X71" s="6"/>
      <c r="Y71" s="6"/>
    </row>
    <row r="72" spans="3:25" ht="15">
      <c r="C72" s="6"/>
      <c r="D72" s="6"/>
      <c r="E72" s="6"/>
      <c r="F72" s="6"/>
      <c r="G72" s="6"/>
      <c r="H72" s="6"/>
      <c r="I72" s="6"/>
      <c r="J72" s="6"/>
      <c r="K72" s="6"/>
      <c r="L72" s="6"/>
      <c r="M72" s="6"/>
      <c r="N72" s="6"/>
      <c r="O72" s="6"/>
      <c r="P72" s="6"/>
      <c r="Q72" s="6"/>
      <c r="R72" s="6"/>
      <c r="S72" s="6"/>
      <c r="T72" s="6"/>
      <c r="U72" s="6"/>
      <c r="V72" s="6"/>
      <c r="W72" s="6"/>
      <c r="X72" s="6"/>
      <c r="Y72" s="6"/>
    </row>
    <row r="73" spans="3:25" ht="15">
      <c r="C73" s="6"/>
      <c r="D73" s="6"/>
      <c r="E73" s="6"/>
      <c r="F73" s="6"/>
      <c r="G73" s="6"/>
      <c r="H73" s="6"/>
      <c r="I73" s="6"/>
      <c r="J73" s="6"/>
      <c r="K73" s="6"/>
      <c r="L73" s="6"/>
      <c r="M73" s="6"/>
      <c r="N73" s="6"/>
      <c r="O73" s="6"/>
      <c r="P73" s="6"/>
      <c r="Q73" s="6"/>
      <c r="R73" s="6"/>
      <c r="S73" s="6"/>
      <c r="T73" s="6"/>
      <c r="U73" s="6"/>
      <c r="V73" s="6"/>
      <c r="W73" s="6"/>
      <c r="X73" s="6"/>
      <c r="Y73" s="6"/>
    </row>
    <row r="74" spans="3:25" ht="15">
      <c r="C74" s="6"/>
      <c r="D74" s="6"/>
      <c r="E74" s="6"/>
      <c r="F74" s="6"/>
      <c r="G74" s="6"/>
      <c r="H74" s="6"/>
      <c r="I74" s="6"/>
      <c r="J74" s="6"/>
      <c r="K74" s="6"/>
      <c r="L74" s="6"/>
      <c r="M74" s="6"/>
      <c r="N74" s="6"/>
      <c r="O74" s="6"/>
      <c r="P74" s="6"/>
      <c r="Q74" s="6"/>
      <c r="R74" s="6"/>
      <c r="S74" s="6"/>
      <c r="T74" s="6"/>
      <c r="U74" s="6"/>
      <c r="V74" s="6"/>
      <c r="W74" s="6"/>
      <c r="X74" s="6"/>
      <c r="Y74" s="6"/>
    </row>
    <row r="75" spans="3:25" ht="15">
      <c r="C75" s="6"/>
      <c r="D75" s="6"/>
      <c r="E75" s="6"/>
      <c r="F75" s="6"/>
      <c r="G75" s="6"/>
      <c r="H75" s="6"/>
      <c r="I75" s="6"/>
      <c r="J75" s="6"/>
      <c r="K75" s="6"/>
      <c r="L75" s="6"/>
      <c r="M75" s="6"/>
      <c r="N75" s="6"/>
      <c r="O75" s="6"/>
      <c r="P75" s="6"/>
      <c r="Q75" s="6"/>
      <c r="R75" s="6"/>
      <c r="S75" s="6"/>
      <c r="T75" s="6"/>
      <c r="U75" s="6"/>
      <c r="V75" s="6"/>
      <c r="W75" s="6"/>
      <c r="X75" s="6"/>
      <c r="Y75" s="6"/>
    </row>
    <row r="76" spans="3:25" ht="15">
      <c r="C76" s="6"/>
      <c r="D76" s="6"/>
      <c r="E76" s="6"/>
      <c r="F76" s="6"/>
      <c r="G76" s="6"/>
      <c r="H76" s="6"/>
      <c r="I76" s="6"/>
      <c r="J76" s="6"/>
      <c r="K76" s="6"/>
      <c r="L76" s="6"/>
      <c r="M76" s="6"/>
      <c r="N76" s="6"/>
      <c r="O76" s="6"/>
      <c r="P76" s="6"/>
      <c r="Q76" s="6"/>
      <c r="R76" s="6"/>
      <c r="S76" s="6"/>
      <c r="T76" s="6"/>
      <c r="U76" s="6"/>
      <c r="V76" s="6"/>
      <c r="W76" s="6"/>
      <c r="X76" s="6"/>
      <c r="Y76" s="6"/>
    </row>
    <row r="77" spans="3:25" ht="15">
      <c r="C77" s="6"/>
      <c r="D77" s="6"/>
      <c r="E77" s="6"/>
      <c r="F77" s="6"/>
      <c r="G77" s="6"/>
      <c r="H77" s="6"/>
      <c r="I77" s="6"/>
      <c r="J77" s="6"/>
      <c r="K77" s="6"/>
      <c r="L77" s="6"/>
      <c r="M77" s="6"/>
      <c r="N77" s="6"/>
      <c r="O77" s="6"/>
      <c r="P77" s="6"/>
      <c r="Q77" s="6"/>
      <c r="R77" s="6"/>
      <c r="S77" s="6"/>
      <c r="T77" s="6"/>
      <c r="U77" s="6"/>
      <c r="V77" s="6"/>
      <c r="W77" s="6"/>
      <c r="X77" s="6"/>
      <c r="Y77" s="6"/>
    </row>
    <row r="78" spans="3:25" ht="15">
      <c r="C78" s="6"/>
      <c r="D78" s="6"/>
      <c r="E78" s="6"/>
      <c r="F78" s="6"/>
      <c r="G78" s="6"/>
      <c r="H78" s="6"/>
      <c r="I78" s="6"/>
      <c r="J78" s="6"/>
      <c r="K78" s="6"/>
      <c r="L78" s="6"/>
      <c r="M78" s="6"/>
      <c r="N78" s="6"/>
      <c r="O78" s="6"/>
      <c r="P78" s="6"/>
      <c r="Q78" s="6"/>
      <c r="R78" s="6"/>
      <c r="S78" s="6"/>
      <c r="T78" s="6"/>
      <c r="U78" s="6"/>
      <c r="V78" s="6"/>
      <c r="W78" s="6"/>
      <c r="X78" s="6"/>
      <c r="Y78" s="6"/>
    </row>
    <row r="79" spans="3:25" ht="15">
      <c r="C79" s="6"/>
      <c r="D79" s="6"/>
      <c r="E79" s="6"/>
      <c r="F79" s="6"/>
      <c r="G79" s="6"/>
      <c r="H79" s="6"/>
      <c r="I79" s="6"/>
      <c r="J79" s="6"/>
      <c r="K79" s="6"/>
      <c r="L79" s="6"/>
      <c r="M79" s="6"/>
      <c r="N79" s="6"/>
      <c r="O79" s="6"/>
      <c r="P79" s="6"/>
      <c r="Q79" s="6"/>
      <c r="R79" s="6"/>
      <c r="S79" s="6"/>
      <c r="T79" s="6"/>
      <c r="U79" s="6"/>
      <c r="V79" s="6"/>
      <c r="W79" s="6"/>
      <c r="X79" s="6"/>
      <c r="Y79" s="6"/>
    </row>
    <row r="80" spans="3:25" ht="15">
      <c r="C80" s="6"/>
      <c r="D80" s="6"/>
      <c r="E80" s="6"/>
      <c r="F80" s="6"/>
      <c r="G80" s="6"/>
      <c r="H80" s="6"/>
      <c r="I80" s="6"/>
      <c r="J80" s="6"/>
      <c r="K80" s="6"/>
      <c r="L80" s="6"/>
      <c r="M80" s="6"/>
      <c r="N80" s="6"/>
      <c r="O80" s="6"/>
      <c r="P80" s="6"/>
      <c r="Q80" s="6"/>
      <c r="R80" s="6"/>
      <c r="S80" s="6"/>
      <c r="T80" s="6"/>
      <c r="U80" s="6"/>
      <c r="V80" s="6"/>
      <c r="W80" s="6"/>
      <c r="X80" s="6"/>
      <c r="Y80" s="6"/>
    </row>
    <row r="81" spans="3:25" ht="15">
      <c r="C81" s="6"/>
      <c r="D81" s="6"/>
      <c r="E81" s="6"/>
      <c r="F81" s="6"/>
      <c r="G81" s="6"/>
      <c r="H81" s="6"/>
      <c r="I81" s="6"/>
      <c r="J81" s="6"/>
      <c r="K81" s="6"/>
      <c r="L81" s="6"/>
      <c r="M81" s="6"/>
      <c r="N81" s="6"/>
      <c r="O81" s="6"/>
      <c r="P81" s="6"/>
      <c r="Q81" s="6"/>
      <c r="R81" s="6"/>
      <c r="S81" s="6"/>
      <c r="T81" s="6"/>
      <c r="U81" s="6"/>
      <c r="V81" s="6"/>
      <c r="W81" s="6"/>
      <c r="X81" s="6"/>
      <c r="Y81" s="6"/>
    </row>
    <row r="82" spans="3:25" ht="15">
      <c r="C82" s="6"/>
      <c r="D82" s="6"/>
      <c r="E82" s="6"/>
      <c r="F82" s="6"/>
      <c r="G82" s="6"/>
      <c r="H82" s="6"/>
      <c r="I82" s="6"/>
      <c r="J82" s="6"/>
      <c r="K82" s="6"/>
      <c r="L82" s="6"/>
      <c r="M82" s="6"/>
      <c r="N82" s="6"/>
      <c r="O82" s="6"/>
      <c r="P82" s="6"/>
      <c r="Q82" s="6"/>
      <c r="R82" s="6"/>
      <c r="S82" s="6"/>
      <c r="T82" s="6"/>
      <c r="U82" s="6"/>
      <c r="V82" s="6"/>
      <c r="W82" s="6"/>
      <c r="X82" s="6"/>
      <c r="Y82" s="6"/>
    </row>
    <row r="83" spans="3:25" ht="15">
      <c r="C83" s="6"/>
      <c r="D83" s="6"/>
      <c r="E83" s="6"/>
      <c r="F83" s="6"/>
      <c r="G83" s="6"/>
      <c r="H83" s="6"/>
      <c r="I83" s="6"/>
      <c r="J83" s="6"/>
      <c r="K83" s="6"/>
      <c r="L83" s="6"/>
      <c r="M83" s="6"/>
      <c r="N83" s="6"/>
      <c r="O83" s="6"/>
      <c r="P83" s="6"/>
      <c r="Q83" s="6"/>
      <c r="R83" s="6"/>
      <c r="S83" s="6"/>
      <c r="T83" s="6"/>
      <c r="U83" s="6"/>
      <c r="V83" s="6"/>
      <c r="W83" s="6"/>
      <c r="X83" s="6"/>
      <c r="Y83" s="6"/>
    </row>
    <row r="84" spans="3:25" ht="15">
      <c r="C84" s="6"/>
      <c r="D84" s="6"/>
      <c r="E84" s="6"/>
      <c r="F84" s="6"/>
      <c r="G84" s="6"/>
      <c r="H84" s="6"/>
      <c r="I84" s="6"/>
      <c r="J84" s="6"/>
      <c r="K84" s="6"/>
      <c r="L84" s="6"/>
      <c r="M84" s="6"/>
      <c r="N84" s="6"/>
      <c r="O84" s="6"/>
      <c r="P84" s="6"/>
      <c r="Q84" s="6"/>
      <c r="R84" s="6"/>
      <c r="S84" s="6"/>
      <c r="T84" s="6"/>
      <c r="U84" s="6"/>
      <c r="V84" s="6"/>
      <c r="W84" s="6"/>
      <c r="X84" s="6"/>
      <c r="Y84" s="6"/>
    </row>
    <row r="85" spans="3:25" ht="15">
      <c r="C85" s="6"/>
      <c r="D85" s="6"/>
      <c r="E85" s="6"/>
      <c r="F85" s="6"/>
      <c r="G85" s="6"/>
      <c r="H85" s="6"/>
      <c r="I85" s="6"/>
      <c r="J85" s="6"/>
      <c r="K85" s="6"/>
      <c r="L85" s="6"/>
      <c r="M85" s="6"/>
      <c r="N85" s="6"/>
      <c r="O85" s="6"/>
      <c r="P85" s="6"/>
      <c r="Q85" s="6"/>
      <c r="R85" s="6"/>
      <c r="S85" s="6"/>
      <c r="T85" s="6"/>
      <c r="U85" s="6"/>
      <c r="V85" s="6"/>
      <c r="W85" s="6"/>
      <c r="X85" s="6"/>
      <c r="Y85" s="6"/>
    </row>
    <row r="86" spans="3:25" ht="15">
      <c r="C86" s="6"/>
      <c r="D86" s="6"/>
      <c r="E86" s="6"/>
      <c r="F86" s="6"/>
      <c r="G86" s="6"/>
      <c r="H86" s="6"/>
      <c r="I86" s="6"/>
      <c r="J86" s="6"/>
      <c r="K86" s="6"/>
      <c r="L86" s="6"/>
      <c r="M86" s="6"/>
      <c r="N86" s="6"/>
      <c r="O86" s="6"/>
      <c r="P86" s="6"/>
      <c r="Q86" s="6"/>
      <c r="R86" s="6"/>
      <c r="S86" s="6"/>
      <c r="T86" s="6"/>
      <c r="U86" s="6"/>
      <c r="V86" s="6"/>
      <c r="W86" s="6"/>
      <c r="X86" s="6"/>
      <c r="Y86" s="6"/>
    </row>
    <row r="87" spans="3:25" ht="15">
      <c r="C87" s="6"/>
      <c r="D87" s="6"/>
      <c r="E87" s="6"/>
      <c r="F87" s="6"/>
      <c r="G87" s="6"/>
      <c r="H87" s="6"/>
      <c r="I87" s="6"/>
      <c r="J87" s="6"/>
      <c r="K87" s="6"/>
      <c r="L87" s="6"/>
      <c r="M87" s="6"/>
      <c r="N87" s="6"/>
      <c r="O87" s="6"/>
      <c r="P87" s="6"/>
      <c r="Q87" s="6"/>
      <c r="R87" s="6"/>
      <c r="S87" s="6"/>
      <c r="T87" s="6"/>
      <c r="U87" s="6"/>
      <c r="V87" s="6"/>
      <c r="W87" s="6"/>
      <c r="X87" s="6"/>
      <c r="Y87" s="6"/>
    </row>
    <row r="88" spans="3:25" ht="15">
      <c r="C88" s="6"/>
      <c r="D88" s="6"/>
      <c r="E88" s="6"/>
      <c r="F88" s="6"/>
      <c r="G88" s="6"/>
      <c r="H88" s="6"/>
      <c r="I88" s="6"/>
      <c r="J88" s="6"/>
      <c r="K88" s="6"/>
      <c r="L88" s="6"/>
      <c r="M88" s="6"/>
      <c r="N88" s="6"/>
      <c r="O88" s="6"/>
      <c r="P88" s="6"/>
      <c r="Q88" s="6"/>
      <c r="R88" s="6"/>
      <c r="S88" s="6"/>
      <c r="T88" s="6"/>
      <c r="U88" s="6"/>
      <c r="V88" s="6"/>
      <c r="W88" s="6"/>
      <c r="X88" s="6"/>
      <c r="Y88" s="6"/>
    </row>
    <row r="89" spans="3:25" ht="15">
      <c r="C89" s="6"/>
      <c r="D89" s="6"/>
      <c r="E89" s="6"/>
      <c r="F89" s="6"/>
      <c r="G89" s="6"/>
      <c r="H89" s="6"/>
      <c r="I89" s="6"/>
      <c r="J89" s="6"/>
      <c r="K89" s="6"/>
      <c r="L89" s="6"/>
      <c r="M89" s="6"/>
      <c r="N89" s="6"/>
      <c r="O89" s="6"/>
      <c r="P89" s="6"/>
      <c r="Q89" s="6"/>
      <c r="R89" s="6"/>
      <c r="S89" s="6"/>
      <c r="T89" s="6"/>
      <c r="U89" s="6"/>
      <c r="V89" s="6"/>
      <c r="W89" s="6"/>
      <c r="X89" s="6"/>
      <c r="Y89" s="6"/>
    </row>
    <row r="90" spans="3:25" ht="15">
      <c r="C90" s="6"/>
      <c r="D90" s="6"/>
      <c r="E90" s="6"/>
      <c r="F90" s="6"/>
      <c r="G90" s="6"/>
      <c r="H90" s="6"/>
      <c r="I90" s="6"/>
      <c r="J90" s="6"/>
      <c r="K90" s="6"/>
      <c r="L90" s="6"/>
      <c r="M90" s="6"/>
      <c r="N90" s="6"/>
      <c r="O90" s="6"/>
      <c r="P90" s="6"/>
      <c r="Q90" s="6"/>
      <c r="R90" s="6"/>
      <c r="S90" s="6"/>
      <c r="T90" s="6"/>
      <c r="U90" s="6"/>
      <c r="V90" s="6"/>
      <c r="W90" s="6"/>
      <c r="X90" s="6"/>
      <c r="Y90" s="6"/>
    </row>
    <row r="91" spans="3:25" ht="15">
      <c r="C91" s="6"/>
      <c r="D91" s="6"/>
      <c r="E91" s="6"/>
      <c r="F91" s="6"/>
      <c r="G91" s="6"/>
      <c r="H91" s="6"/>
      <c r="I91" s="6"/>
      <c r="J91" s="6"/>
      <c r="K91" s="6"/>
      <c r="L91" s="6"/>
      <c r="M91" s="6"/>
      <c r="N91" s="6"/>
      <c r="O91" s="6"/>
      <c r="P91" s="6"/>
      <c r="Q91" s="6"/>
      <c r="R91" s="6"/>
      <c r="S91" s="6"/>
      <c r="T91" s="6"/>
      <c r="U91" s="6"/>
      <c r="V91" s="6"/>
      <c r="W91" s="6"/>
      <c r="X91" s="6"/>
      <c r="Y91" s="6"/>
    </row>
    <row r="92" spans="3:25" ht="15">
      <c r="C92" s="6"/>
      <c r="D92" s="6"/>
      <c r="E92" s="6"/>
      <c r="F92" s="6"/>
      <c r="G92" s="6"/>
      <c r="H92" s="6"/>
      <c r="I92" s="6"/>
      <c r="J92" s="6"/>
      <c r="K92" s="6"/>
      <c r="L92" s="6"/>
      <c r="M92" s="6"/>
      <c r="N92" s="6"/>
      <c r="O92" s="6"/>
      <c r="P92" s="6"/>
      <c r="Q92" s="6"/>
      <c r="R92" s="6"/>
      <c r="S92" s="6"/>
      <c r="T92" s="6"/>
      <c r="U92" s="6"/>
      <c r="V92" s="6"/>
      <c r="W92" s="6"/>
      <c r="X92" s="6"/>
      <c r="Y92" s="6"/>
    </row>
    <row r="93" spans="3:25" ht="15">
      <c r="C93" s="6"/>
      <c r="D93" s="6"/>
      <c r="E93" s="6"/>
      <c r="F93" s="6"/>
      <c r="G93" s="6"/>
      <c r="H93" s="6"/>
      <c r="I93" s="6"/>
      <c r="J93" s="6"/>
      <c r="K93" s="6"/>
      <c r="L93" s="6"/>
      <c r="M93" s="6"/>
      <c r="N93" s="6"/>
      <c r="O93" s="6"/>
      <c r="P93" s="6"/>
      <c r="Q93" s="6"/>
      <c r="R93" s="6"/>
      <c r="S93" s="6"/>
      <c r="T93" s="6"/>
      <c r="U93" s="6"/>
      <c r="V93" s="6"/>
      <c r="W93" s="6"/>
      <c r="X93" s="6"/>
      <c r="Y93" s="6"/>
    </row>
    <row r="94" spans="3:25" ht="15">
      <c r="C94" s="6"/>
      <c r="D94" s="6"/>
      <c r="E94" s="6"/>
      <c r="F94" s="6"/>
      <c r="G94" s="6"/>
      <c r="H94" s="6"/>
      <c r="I94" s="6"/>
      <c r="J94" s="6"/>
      <c r="K94" s="6"/>
      <c r="L94" s="6"/>
      <c r="M94" s="6"/>
      <c r="N94" s="6"/>
      <c r="O94" s="6"/>
      <c r="P94" s="6"/>
      <c r="Q94" s="6"/>
      <c r="R94" s="6"/>
      <c r="S94" s="6"/>
      <c r="T94" s="6"/>
      <c r="U94" s="6"/>
      <c r="V94" s="6"/>
      <c r="W94" s="6"/>
      <c r="X94" s="6"/>
      <c r="Y94" s="6"/>
    </row>
    <row r="95" spans="3:25" ht="15">
      <c r="C95" s="6"/>
      <c r="D95" s="6"/>
      <c r="E95" s="6"/>
      <c r="F95" s="6"/>
      <c r="G95" s="6"/>
      <c r="H95" s="6"/>
      <c r="I95" s="6"/>
      <c r="J95" s="6"/>
      <c r="K95" s="6"/>
      <c r="L95" s="6"/>
      <c r="M95" s="6"/>
      <c r="N95" s="6"/>
      <c r="O95" s="6"/>
      <c r="P95" s="6"/>
      <c r="Q95" s="6"/>
      <c r="R95" s="6"/>
      <c r="S95" s="6"/>
      <c r="T95" s="6"/>
      <c r="U95" s="6"/>
      <c r="V95" s="6"/>
      <c r="W95" s="6"/>
      <c r="X95" s="6"/>
      <c r="Y95" s="6"/>
    </row>
    <row r="96" spans="3:25" ht="15">
      <c r="C96" s="6"/>
      <c r="D96" s="6"/>
      <c r="E96" s="6"/>
      <c r="F96" s="6"/>
      <c r="G96" s="6"/>
      <c r="H96" s="6"/>
      <c r="I96" s="6"/>
      <c r="J96" s="6"/>
      <c r="K96" s="6"/>
      <c r="L96" s="6"/>
      <c r="M96" s="6"/>
      <c r="N96" s="6"/>
      <c r="O96" s="6"/>
      <c r="P96" s="6"/>
      <c r="Q96" s="6"/>
      <c r="R96" s="6"/>
      <c r="S96" s="6"/>
      <c r="T96" s="6"/>
      <c r="U96" s="6"/>
      <c r="V96" s="6"/>
      <c r="W96" s="6"/>
      <c r="X96" s="6"/>
      <c r="Y96" s="6"/>
    </row>
    <row r="97" spans="3:25" ht="15">
      <c r="C97" s="6"/>
      <c r="D97" s="6"/>
      <c r="E97" s="6"/>
      <c r="F97" s="6"/>
      <c r="G97" s="6"/>
      <c r="H97" s="6"/>
      <c r="I97" s="6"/>
      <c r="J97" s="6"/>
      <c r="K97" s="6"/>
      <c r="L97" s="6"/>
      <c r="M97" s="6"/>
      <c r="N97" s="6"/>
      <c r="O97" s="6"/>
      <c r="P97" s="6"/>
      <c r="Q97" s="6"/>
      <c r="R97" s="6"/>
      <c r="S97" s="6"/>
      <c r="T97" s="6"/>
      <c r="U97" s="6"/>
      <c r="V97" s="6"/>
      <c r="W97" s="6"/>
      <c r="X97" s="6"/>
      <c r="Y97" s="6"/>
    </row>
    <row r="98" spans="3:25" ht="15">
      <c r="C98" s="6"/>
      <c r="D98" s="6"/>
      <c r="E98" s="6"/>
      <c r="F98" s="6"/>
      <c r="G98" s="6"/>
      <c r="H98" s="6"/>
      <c r="I98" s="6"/>
      <c r="J98" s="6"/>
      <c r="K98" s="6"/>
      <c r="L98" s="6"/>
      <c r="M98" s="6"/>
      <c r="N98" s="6"/>
      <c r="O98" s="6"/>
      <c r="P98" s="6"/>
      <c r="Q98" s="6"/>
      <c r="R98" s="6"/>
      <c r="S98" s="6"/>
      <c r="T98" s="6"/>
      <c r="U98" s="6"/>
      <c r="V98" s="6"/>
      <c r="W98" s="6"/>
      <c r="X98" s="6"/>
      <c r="Y98" s="6"/>
    </row>
    <row r="99" spans="3:25" ht="15">
      <c r="C99" s="6"/>
      <c r="D99" s="6"/>
      <c r="E99" s="6"/>
      <c r="F99" s="6"/>
      <c r="G99" s="6"/>
      <c r="H99" s="6"/>
      <c r="I99" s="6"/>
      <c r="J99" s="6"/>
      <c r="K99" s="6"/>
      <c r="L99" s="6"/>
      <c r="M99" s="6"/>
      <c r="N99" s="6"/>
      <c r="O99" s="6"/>
      <c r="P99" s="6"/>
      <c r="Q99" s="6"/>
      <c r="R99" s="6"/>
      <c r="S99" s="6"/>
      <c r="T99" s="6"/>
      <c r="U99" s="6"/>
      <c r="V99" s="6"/>
      <c r="W99" s="6"/>
      <c r="X99" s="6"/>
      <c r="Y99" s="6"/>
    </row>
    <row r="100" spans="3:25" ht="15">
      <c r="C100" s="6"/>
      <c r="D100" s="6"/>
      <c r="E100" s="6"/>
      <c r="F100" s="6"/>
      <c r="G100" s="6"/>
      <c r="H100" s="6"/>
      <c r="I100" s="6"/>
      <c r="J100" s="6"/>
      <c r="K100" s="6"/>
      <c r="L100" s="6"/>
      <c r="M100" s="6"/>
      <c r="N100" s="6"/>
      <c r="O100" s="6"/>
      <c r="P100" s="6"/>
      <c r="Q100" s="6"/>
      <c r="R100" s="6"/>
      <c r="S100" s="6"/>
      <c r="T100" s="6"/>
      <c r="U100" s="6"/>
      <c r="V100" s="6"/>
      <c r="W100" s="6"/>
      <c r="X100" s="6"/>
      <c r="Y100" s="6"/>
    </row>
    <row r="101" spans="3:25" ht="15">
      <c r="C101" s="6"/>
      <c r="D101" s="6"/>
      <c r="E101" s="6"/>
      <c r="F101" s="6"/>
      <c r="G101" s="6"/>
      <c r="H101" s="6"/>
      <c r="I101" s="6"/>
      <c r="J101" s="6"/>
      <c r="K101" s="6"/>
      <c r="L101" s="6"/>
      <c r="M101" s="6"/>
      <c r="N101" s="6"/>
      <c r="O101" s="6"/>
      <c r="P101" s="6"/>
      <c r="Q101" s="6"/>
      <c r="R101" s="6"/>
      <c r="S101" s="6"/>
      <c r="T101" s="6"/>
      <c r="U101" s="6"/>
      <c r="V101" s="6"/>
      <c r="W101" s="6"/>
      <c r="X101" s="6"/>
      <c r="Y101" s="6"/>
    </row>
    <row r="102" spans="3:25" ht="15">
      <c r="C102" s="6"/>
      <c r="D102" s="6"/>
      <c r="E102" s="6"/>
      <c r="F102" s="6"/>
      <c r="G102" s="6"/>
      <c r="H102" s="6"/>
      <c r="I102" s="6"/>
      <c r="J102" s="6"/>
      <c r="K102" s="6"/>
      <c r="L102" s="6"/>
      <c r="M102" s="6"/>
      <c r="N102" s="6"/>
      <c r="O102" s="6"/>
      <c r="P102" s="6"/>
      <c r="Q102" s="6"/>
      <c r="R102" s="6"/>
      <c r="S102" s="6"/>
      <c r="T102" s="6"/>
      <c r="U102" s="6"/>
      <c r="V102" s="6"/>
      <c r="W102" s="6"/>
      <c r="X102" s="6"/>
      <c r="Y102" s="6"/>
    </row>
    <row r="103" spans="3:25" ht="15">
      <c r="C103" s="6"/>
      <c r="D103" s="6"/>
      <c r="E103" s="6"/>
      <c r="F103" s="6"/>
      <c r="G103" s="6"/>
      <c r="H103" s="6"/>
      <c r="I103" s="6"/>
      <c r="J103" s="6"/>
      <c r="K103" s="6"/>
      <c r="L103" s="6"/>
      <c r="M103" s="6"/>
      <c r="N103" s="6"/>
      <c r="O103" s="6"/>
      <c r="P103" s="6"/>
      <c r="Q103" s="6"/>
      <c r="R103" s="6"/>
      <c r="S103" s="6"/>
      <c r="T103" s="6"/>
      <c r="U103" s="6"/>
      <c r="V103" s="6"/>
      <c r="W103" s="6"/>
      <c r="X103" s="6"/>
      <c r="Y103" s="6"/>
    </row>
    <row r="104" spans="3:25" ht="15">
      <c r="C104" s="6"/>
      <c r="D104" s="6"/>
      <c r="E104" s="6"/>
      <c r="F104" s="6"/>
      <c r="G104" s="6"/>
      <c r="H104" s="6"/>
      <c r="I104" s="6"/>
      <c r="J104" s="6"/>
      <c r="K104" s="6"/>
      <c r="L104" s="6"/>
      <c r="M104" s="6"/>
      <c r="N104" s="6"/>
      <c r="O104" s="6"/>
      <c r="P104" s="6"/>
      <c r="Q104" s="6"/>
      <c r="R104" s="6"/>
      <c r="S104" s="6"/>
      <c r="T104" s="6"/>
      <c r="U104" s="6"/>
      <c r="V104" s="6"/>
      <c r="W104" s="6"/>
      <c r="X104" s="6"/>
      <c r="Y104" s="6"/>
    </row>
    <row r="105" spans="3:25" ht="15">
      <c r="C105" s="6"/>
      <c r="D105" s="6"/>
      <c r="E105" s="6"/>
      <c r="F105" s="6"/>
      <c r="G105" s="6"/>
      <c r="H105" s="6"/>
      <c r="I105" s="6"/>
      <c r="J105" s="6"/>
      <c r="K105" s="6"/>
      <c r="L105" s="6"/>
      <c r="M105" s="6"/>
      <c r="N105" s="6"/>
      <c r="O105" s="6"/>
      <c r="P105" s="6"/>
      <c r="Q105" s="6"/>
      <c r="R105" s="6"/>
      <c r="S105" s="6"/>
      <c r="T105" s="6"/>
      <c r="U105" s="6"/>
      <c r="V105" s="6"/>
      <c r="W105" s="6"/>
      <c r="X105" s="6"/>
      <c r="Y105" s="6"/>
    </row>
    <row r="106" spans="3:25" ht="15">
      <c r="C106" s="6"/>
      <c r="D106" s="6"/>
      <c r="E106" s="6"/>
      <c r="F106" s="6"/>
      <c r="G106" s="6"/>
      <c r="H106" s="6"/>
      <c r="I106" s="6"/>
      <c r="J106" s="6"/>
      <c r="K106" s="6"/>
      <c r="L106" s="6"/>
      <c r="M106" s="6"/>
      <c r="N106" s="6"/>
      <c r="O106" s="6"/>
      <c r="P106" s="6"/>
      <c r="Q106" s="6"/>
      <c r="R106" s="6"/>
      <c r="S106" s="6"/>
      <c r="T106" s="6"/>
      <c r="U106" s="6"/>
      <c r="V106" s="6"/>
      <c r="W106" s="6"/>
      <c r="X106" s="6"/>
      <c r="Y106" s="6"/>
    </row>
    <row r="107" spans="3:25" ht="15">
      <c r="C107" s="6"/>
      <c r="D107" s="6"/>
      <c r="E107" s="6"/>
      <c r="F107" s="6"/>
      <c r="G107" s="6"/>
      <c r="H107" s="6"/>
      <c r="I107" s="6"/>
      <c r="J107" s="6"/>
      <c r="K107" s="6"/>
      <c r="L107" s="6"/>
      <c r="M107" s="6"/>
      <c r="N107" s="6"/>
      <c r="O107" s="6"/>
      <c r="P107" s="6"/>
      <c r="Q107" s="6"/>
      <c r="R107" s="6"/>
      <c r="S107" s="6"/>
      <c r="T107" s="6"/>
      <c r="U107" s="6"/>
      <c r="V107" s="6"/>
      <c r="W107" s="6"/>
      <c r="X107" s="6"/>
      <c r="Y107" s="6"/>
    </row>
    <row r="108" spans="3:25" ht="15">
      <c r="C108" s="6"/>
      <c r="D108" s="6"/>
      <c r="E108" s="6"/>
      <c r="F108" s="6"/>
      <c r="G108" s="6"/>
      <c r="H108" s="6"/>
      <c r="I108" s="6"/>
      <c r="J108" s="6"/>
      <c r="K108" s="6"/>
      <c r="L108" s="6"/>
      <c r="M108" s="6"/>
      <c r="N108" s="6"/>
      <c r="O108" s="6"/>
      <c r="P108" s="6"/>
      <c r="Q108" s="6"/>
      <c r="R108" s="6"/>
      <c r="S108" s="6"/>
      <c r="T108" s="6"/>
      <c r="U108" s="6"/>
      <c r="V108" s="6"/>
      <c r="W108" s="6"/>
      <c r="X108" s="6"/>
      <c r="Y108" s="6"/>
    </row>
    <row r="109" spans="3:25" ht="15">
      <c r="C109" s="6"/>
      <c r="D109" s="6"/>
      <c r="E109" s="6"/>
      <c r="F109" s="6"/>
      <c r="G109" s="6"/>
      <c r="H109" s="6"/>
      <c r="I109" s="6"/>
      <c r="J109" s="6"/>
      <c r="K109" s="6"/>
      <c r="L109" s="6"/>
      <c r="M109" s="6"/>
      <c r="N109" s="6"/>
      <c r="O109" s="6"/>
      <c r="P109" s="6"/>
      <c r="Q109" s="6"/>
      <c r="R109" s="6"/>
      <c r="S109" s="6"/>
      <c r="T109" s="6"/>
      <c r="U109" s="6"/>
      <c r="V109" s="6"/>
      <c r="W109" s="6"/>
      <c r="X109" s="6"/>
      <c r="Y109" s="6"/>
    </row>
    <row r="110" spans="3:25" ht="15">
      <c r="C110" s="6"/>
      <c r="D110" s="6"/>
      <c r="E110" s="6"/>
      <c r="F110" s="6"/>
      <c r="G110" s="6"/>
      <c r="H110" s="6"/>
      <c r="I110" s="6"/>
      <c r="J110" s="6"/>
      <c r="K110" s="6"/>
      <c r="L110" s="6"/>
      <c r="M110" s="6"/>
      <c r="N110" s="6"/>
      <c r="O110" s="6"/>
      <c r="P110" s="6"/>
      <c r="Q110" s="6"/>
      <c r="R110" s="6"/>
      <c r="S110" s="6"/>
      <c r="T110" s="6"/>
      <c r="U110" s="6"/>
      <c r="V110" s="6"/>
      <c r="W110" s="6"/>
      <c r="X110" s="6"/>
      <c r="Y110" s="6"/>
    </row>
    <row r="111" spans="3:25" ht="15">
      <c r="C111" s="6"/>
      <c r="D111" s="6"/>
      <c r="E111" s="6"/>
      <c r="F111" s="6"/>
      <c r="G111" s="6"/>
      <c r="H111" s="6"/>
      <c r="I111" s="6"/>
      <c r="J111" s="6"/>
      <c r="K111" s="6"/>
      <c r="L111" s="6"/>
      <c r="M111" s="6"/>
      <c r="N111" s="6"/>
      <c r="O111" s="6"/>
      <c r="P111" s="6"/>
      <c r="Q111" s="6"/>
      <c r="R111" s="6"/>
      <c r="S111" s="6"/>
      <c r="T111" s="6"/>
      <c r="U111" s="6"/>
      <c r="V111" s="6"/>
      <c r="W111" s="6"/>
      <c r="X111" s="6"/>
      <c r="Y111" s="6"/>
    </row>
    <row r="112" spans="3:25" ht="15">
      <c r="C112" s="6"/>
      <c r="D112" s="6"/>
      <c r="E112" s="6"/>
      <c r="F112" s="6"/>
      <c r="G112" s="6"/>
      <c r="H112" s="6"/>
      <c r="I112" s="6"/>
      <c r="J112" s="6"/>
      <c r="K112" s="6"/>
      <c r="L112" s="6"/>
      <c r="M112" s="6"/>
      <c r="N112" s="6"/>
      <c r="O112" s="6"/>
      <c r="P112" s="6"/>
      <c r="Q112" s="6"/>
      <c r="R112" s="6"/>
      <c r="S112" s="6"/>
      <c r="T112" s="6"/>
      <c r="U112" s="6"/>
      <c r="V112" s="6"/>
      <c r="W112" s="6"/>
      <c r="X112" s="6"/>
      <c r="Y112" s="6"/>
    </row>
    <row r="113" spans="3:25" ht="15">
      <c r="C113" s="6"/>
      <c r="D113" s="6"/>
      <c r="E113" s="6"/>
      <c r="F113" s="6"/>
      <c r="G113" s="6"/>
      <c r="H113" s="6"/>
      <c r="I113" s="6"/>
      <c r="J113" s="6"/>
      <c r="K113" s="6"/>
      <c r="L113" s="6"/>
      <c r="M113" s="6"/>
      <c r="N113" s="6"/>
      <c r="O113" s="6"/>
      <c r="P113" s="6"/>
      <c r="Q113" s="6"/>
      <c r="R113" s="6"/>
      <c r="S113" s="6"/>
      <c r="T113" s="6"/>
      <c r="U113" s="6"/>
      <c r="V113" s="6"/>
      <c r="W113" s="6"/>
      <c r="X113" s="6"/>
      <c r="Y113" s="6"/>
    </row>
    <row r="114" spans="3:25" ht="15">
      <c r="C114" s="6"/>
      <c r="D114" s="6"/>
      <c r="E114" s="6"/>
      <c r="F114" s="6"/>
      <c r="G114" s="6"/>
      <c r="H114" s="6"/>
      <c r="I114" s="6"/>
      <c r="J114" s="6"/>
      <c r="K114" s="6"/>
      <c r="L114" s="6"/>
      <c r="M114" s="6"/>
      <c r="N114" s="6"/>
      <c r="O114" s="6"/>
      <c r="P114" s="6"/>
      <c r="Q114" s="6"/>
      <c r="R114" s="6"/>
      <c r="S114" s="6"/>
      <c r="T114" s="6"/>
      <c r="U114" s="6"/>
      <c r="V114" s="6"/>
      <c r="W114" s="6"/>
      <c r="X114" s="6"/>
      <c r="Y114" s="6"/>
    </row>
    <row r="115" spans="3:25" ht="15">
      <c r="C115" s="6"/>
      <c r="D115" s="6"/>
      <c r="E115" s="6"/>
      <c r="F115" s="6"/>
      <c r="G115" s="6"/>
      <c r="H115" s="6"/>
      <c r="I115" s="6"/>
      <c r="J115" s="6"/>
      <c r="K115" s="6"/>
      <c r="L115" s="6"/>
      <c r="M115" s="6"/>
      <c r="N115" s="6"/>
      <c r="O115" s="6"/>
      <c r="P115" s="6"/>
      <c r="Q115" s="6"/>
      <c r="R115" s="6"/>
      <c r="S115" s="6"/>
      <c r="T115" s="6"/>
      <c r="U115" s="6"/>
      <c r="V115" s="6"/>
      <c r="W115" s="6"/>
      <c r="X115" s="6"/>
      <c r="Y115" s="6"/>
    </row>
    <row r="116" spans="3:25" ht="15">
      <c r="C116" s="6"/>
      <c r="D116" s="6"/>
      <c r="E116" s="6"/>
      <c r="F116" s="6"/>
      <c r="G116" s="6"/>
      <c r="H116" s="6"/>
      <c r="I116" s="6"/>
      <c r="J116" s="6"/>
      <c r="K116" s="6"/>
      <c r="L116" s="6"/>
      <c r="M116" s="6"/>
      <c r="N116" s="6"/>
      <c r="O116" s="6"/>
      <c r="P116" s="6"/>
      <c r="Q116" s="6"/>
      <c r="R116" s="6"/>
      <c r="S116" s="6"/>
      <c r="T116" s="6"/>
      <c r="U116" s="6"/>
      <c r="V116" s="6"/>
      <c r="W116" s="6"/>
      <c r="X116" s="6"/>
      <c r="Y116" s="6"/>
    </row>
    <row r="117" spans="3:25" ht="15">
      <c r="C117" s="6"/>
      <c r="D117" s="6"/>
      <c r="E117" s="6"/>
      <c r="F117" s="6"/>
      <c r="G117" s="6"/>
      <c r="H117" s="6"/>
      <c r="I117" s="6"/>
      <c r="J117" s="6"/>
      <c r="K117" s="6"/>
      <c r="L117" s="6"/>
      <c r="M117" s="6"/>
      <c r="N117" s="6"/>
      <c r="O117" s="6"/>
      <c r="P117" s="6"/>
      <c r="Q117" s="6"/>
      <c r="R117" s="6"/>
      <c r="S117" s="6"/>
      <c r="T117" s="6"/>
      <c r="U117" s="6"/>
      <c r="V117" s="6"/>
      <c r="W117" s="6"/>
      <c r="X117" s="6"/>
      <c r="Y117" s="6"/>
    </row>
    <row r="118" spans="3:25" ht="15">
      <c r="C118" s="6"/>
      <c r="D118" s="6"/>
      <c r="E118" s="6"/>
      <c r="F118" s="6"/>
      <c r="G118" s="6"/>
      <c r="H118" s="6"/>
      <c r="I118" s="6"/>
      <c r="J118" s="6"/>
      <c r="K118" s="6"/>
      <c r="L118" s="6"/>
      <c r="M118" s="6"/>
      <c r="N118" s="6"/>
      <c r="O118" s="6"/>
      <c r="P118" s="6"/>
      <c r="Q118" s="6"/>
      <c r="R118" s="6"/>
      <c r="S118" s="6"/>
      <c r="T118" s="6"/>
      <c r="U118" s="6"/>
      <c r="V118" s="6"/>
      <c r="W118" s="6"/>
      <c r="X118" s="6"/>
      <c r="Y118" s="6"/>
    </row>
    <row r="119" spans="3:25" ht="15">
      <c r="C119" s="6"/>
      <c r="D119" s="6"/>
      <c r="E119" s="6"/>
      <c r="F119" s="6"/>
      <c r="G119" s="6"/>
      <c r="H119" s="6"/>
      <c r="I119" s="6"/>
      <c r="J119" s="6"/>
      <c r="K119" s="6"/>
      <c r="L119" s="6"/>
      <c r="M119" s="6"/>
      <c r="N119" s="6"/>
      <c r="O119" s="6"/>
      <c r="P119" s="6"/>
      <c r="Q119" s="6"/>
      <c r="R119" s="6"/>
      <c r="S119" s="6"/>
      <c r="T119" s="6"/>
      <c r="U119" s="6"/>
      <c r="V119" s="6"/>
      <c r="W119" s="6"/>
      <c r="X119" s="6"/>
      <c r="Y119" s="6"/>
    </row>
    <row r="120" spans="3:25" ht="15">
      <c r="C120" s="6"/>
      <c r="D120" s="6"/>
      <c r="E120" s="6"/>
      <c r="F120" s="6"/>
      <c r="G120" s="6"/>
      <c r="H120" s="6"/>
      <c r="I120" s="6"/>
      <c r="J120" s="6"/>
      <c r="K120" s="6"/>
      <c r="L120" s="6"/>
      <c r="M120" s="6"/>
      <c r="N120" s="6"/>
      <c r="O120" s="6"/>
      <c r="P120" s="6"/>
      <c r="Q120" s="6"/>
      <c r="R120" s="6"/>
      <c r="S120" s="6"/>
      <c r="T120" s="6"/>
      <c r="U120" s="6"/>
      <c r="V120" s="6"/>
      <c r="W120" s="6"/>
      <c r="X120" s="6"/>
      <c r="Y120" s="6"/>
    </row>
    <row r="121" spans="3:25" ht="15">
      <c r="C121" s="6"/>
      <c r="D121" s="6"/>
      <c r="E121" s="6"/>
      <c r="F121" s="6"/>
      <c r="G121" s="6"/>
      <c r="H121" s="6"/>
      <c r="I121" s="6"/>
      <c r="J121" s="6"/>
      <c r="K121" s="6"/>
      <c r="L121" s="6"/>
      <c r="M121" s="6"/>
      <c r="N121" s="6"/>
      <c r="O121" s="6"/>
      <c r="P121" s="6"/>
      <c r="Q121" s="6"/>
      <c r="R121" s="6"/>
      <c r="S121" s="6"/>
      <c r="T121" s="6"/>
      <c r="U121" s="6"/>
      <c r="V121" s="6"/>
      <c r="W121" s="6"/>
      <c r="X121" s="6"/>
      <c r="Y121" s="6"/>
    </row>
    <row r="122" spans="3:25" ht="15">
      <c r="C122" s="6"/>
      <c r="D122" s="6"/>
      <c r="E122" s="6"/>
      <c r="F122" s="6"/>
      <c r="G122" s="6"/>
      <c r="H122" s="6"/>
      <c r="I122" s="6"/>
      <c r="J122" s="6"/>
      <c r="K122" s="6"/>
      <c r="L122" s="6"/>
      <c r="M122" s="6"/>
      <c r="N122" s="6"/>
      <c r="O122" s="6"/>
      <c r="P122" s="6"/>
      <c r="Q122" s="6"/>
      <c r="R122" s="6"/>
      <c r="S122" s="6"/>
      <c r="T122" s="6"/>
      <c r="U122" s="6"/>
      <c r="V122" s="6"/>
      <c r="W122" s="6"/>
      <c r="X122" s="6"/>
      <c r="Y122" s="6"/>
    </row>
    <row r="123" spans="3:25" ht="15">
      <c r="C123" s="6"/>
      <c r="D123" s="6"/>
      <c r="E123" s="6"/>
      <c r="F123" s="6"/>
      <c r="G123" s="6"/>
      <c r="H123" s="6"/>
      <c r="I123" s="6"/>
      <c r="J123" s="6"/>
      <c r="K123" s="6"/>
      <c r="L123" s="6"/>
      <c r="M123" s="6"/>
      <c r="N123" s="6"/>
      <c r="O123" s="6"/>
      <c r="P123" s="6"/>
      <c r="Q123" s="6"/>
      <c r="R123" s="6"/>
      <c r="S123" s="6"/>
      <c r="T123" s="6"/>
      <c r="U123" s="6"/>
      <c r="V123" s="6"/>
      <c r="W123" s="6"/>
      <c r="X123" s="6"/>
      <c r="Y123" s="6"/>
    </row>
    <row r="124" spans="3:25" ht="15">
      <c r="C124" s="6"/>
      <c r="D124" s="6"/>
      <c r="E124" s="6"/>
      <c r="F124" s="6"/>
      <c r="G124" s="6"/>
      <c r="H124" s="6"/>
      <c r="I124" s="6"/>
      <c r="J124" s="6"/>
      <c r="K124" s="6"/>
      <c r="L124" s="6"/>
      <c r="M124" s="6"/>
      <c r="N124" s="6"/>
      <c r="O124" s="6"/>
      <c r="P124" s="6"/>
      <c r="Q124" s="6"/>
      <c r="R124" s="6"/>
      <c r="S124" s="6"/>
      <c r="T124" s="6"/>
      <c r="U124" s="6"/>
      <c r="V124" s="6"/>
      <c r="W124" s="6"/>
      <c r="X124" s="6"/>
      <c r="Y124" s="6"/>
    </row>
    <row r="125" spans="3:25" ht="15">
      <c r="C125" s="6"/>
      <c r="D125" s="6"/>
      <c r="E125" s="6"/>
      <c r="F125" s="6"/>
      <c r="G125" s="6"/>
      <c r="H125" s="6"/>
      <c r="I125" s="6"/>
      <c r="J125" s="6"/>
      <c r="K125" s="6"/>
      <c r="L125" s="6"/>
      <c r="M125" s="6"/>
      <c r="N125" s="6"/>
      <c r="O125" s="6"/>
      <c r="P125" s="6"/>
      <c r="Q125" s="6"/>
      <c r="R125" s="6"/>
      <c r="S125" s="6"/>
      <c r="T125" s="6"/>
      <c r="U125" s="6"/>
      <c r="V125" s="6"/>
      <c r="W125" s="6"/>
      <c r="X125" s="6"/>
      <c r="Y125" s="6"/>
    </row>
    <row r="126" spans="3:25" ht="15">
      <c r="C126" s="6"/>
      <c r="D126" s="6"/>
      <c r="E126" s="6"/>
      <c r="F126" s="6"/>
      <c r="G126" s="6"/>
      <c r="H126" s="6"/>
      <c r="I126" s="6"/>
      <c r="J126" s="6"/>
      <c r="K126" s="6"/>
      <c r="L126" s="6"/>
      <c r="M126" s="6"/>
      <c r="N126" s="6"/>
      <c r="O126" s="6"/>
      <c r="P126" s="6"/>
      <c r="Q126" s="6"/>
      <c r="R126" s="6"/>
      <c r="S126" s="6"/>
      <c r="T126" s="6"/>
      <c r="U126" s="6"/>
      <c r="V126" s="6"/>
      <c r="W126" s="6"/>
      <c r="X126" s="6"/>
      <c r="Y126" s="6"/>
    </row>
    <row r="127" spans="3:25" ht="15">
      <c r="C127" s="6"/>
      <c r="D127" s="6"/>
      <c r="E127" s="6"/>
      <c r="F127" s="6"/>
      <c r="G127" s="6"/>
      <c r="H127" s="6"/>
      <c r="I127" s="6"/>
      <c r="J127" s="6"/>
      <c r="K127" s="6"/>
      <c r="L127" s="6"/>
      <c r="M127" s="6"/>
      <c r="N127" s="6"/>
      <c r="O127" s="6"/>
      <c r="P127" s="6"/>
      <c r="Q127" s="6"/>
      <c r="R127" s="6"/>
      <c r="S127" s="6"/>
      <c r="T127" s="6"/>
      <c r="U127" s="6"/>
      <c r="V127" s="6"/>
      <c r="W127" s="6"/>
      <c r="X127" s="6"/>
      <c r="Y127" s="6"/>
    </row>
    <row r="128" spans="3:25" ht="15">
      <c r="C128" s="6"/>
      <c r="D128" s="6"/>
      <c r="E128" s="6"/>
      <c r="F128" s="6"/>
      <c r="G128" s="6"/>
      <c r="H128" s="6"/>
      <c r="I128" s="6"/>
      <c r="J128" s="6"/>
      <c r="K128" s="6"/>
      <c r="L128" s="6"/>
      <c r="M128" s="6"/>
      <c r="N128" s="6"/>
      <c r="O128" s="6"/>
      <c r="P128" s="6"/>
      <c r="Q128" s="6"/>
      <c r="R128" s="6"/>
      <c r="S128" s="6"/>
      <c r="T128" s="6"/>
      <c r="U128" s="6"/>
      <c r="V128" s="6"/>
      <c r="W128" s="6"/>
      <c r="X128" s="6"/>
      <c r="Y128" s="6"/>
    </row>
    <row r="129" spans="3:25" ht="15">
      <c r="C129" s="6"/>
      <c r="D129" s="6"/>
      <c r="E129" s="6"/>
      <c r="F129" s="6"/>
      <c r="G129" s="6"/>
      <c r="H129" s="6"/>
      <c r="I129" s="6"/>
      <c r="J129" s="6"/>
      <c r="K129" s="6"/>
      <c r="L129" s="6"/>
      <c r="M129" s="6"/>
      <c r="N129" s="6"/>
      <c r="O129" s="6"/>
      <c r="P129" s="6"/>
      <c r="Q129" s="6"/>
      <c r="R129" s="6"/>
      <c r="S129" s="6"/>
      <c r="T129" s="6"/>
      <c r="U129" s="6"/>
      <c r="V129" s="6"/>
      <c r="W129" s="6"/>
      <c r="X129" s="6"/>
      <c r="Y129" s="6"/>
    </row>
    <row r="130" spans="3:25" ht="15">
      <c r="C130" s="6"/>
      <c r="D130" s="6"/>
      <c r="E130" s="6"/>
      <c r="F130" s="6"/>
      <c r="G130" s="6"/>
      <c r="H130" s="6"/>
      <c r="I130" s="6"/>
      <c r="J130" s="6"/>
      <c r="K130" s="6"/>
      <c r="L130" s="6"/>
      <c r="M130" s="6"/>
      <c r="N130" s="6"/>
      <c r="O130" s="6"/>
      <c r="P130" s="6"/>
      <c r="Q130" s="6"/>
      <c r="R130" s="6"/>
      <c r="S130" s="6"/>
      <c r="T130" s="6"/>
      <c r="U130" s="6"/>
      <c r="V130" s="6"/>
      <c r="W130" s="6"/>
      <c r="X130" s="6"/>
      <c r="Y130" s="6"/>
    </row>
    <row r="131" spans="3:25" ht="15">
      <c r="C131" s="6"/>
      <c r="D131" s="6"/>
      <c r="E131" s="6"/>
      <c r="F131" s="6"/>
      <c r="G131" s="6"/>
      <c r="H131" s="6"/>
      <c r="I131" s="6"/>
      <c r="J131" s="6"/>
      <c r="K131" s="6"/>
      <c r="L131" s="6"/>
      <c r="M131" s="6"/>
      <c r="N131" s="6"/>
      <c r="O131" s="6"/>
      <c r="P131" s="6"/>
      <c r="Q131" s="6"/>
      <c r="R131" s="6"/>
      <c r="S131" s="6"/>
      <c r="T131" s="6"/>
      <c r="U131" s="6"/>
      <c r="V131" s="6"/>
      <c r="W131" s="6"/>
      <c r="X131" s="6"/>
      <c r="Y131" s="6"/>
    </row>
    <row r="132" spans="3:25" ht="15">
      <c r="C132" s="6"/>
      <c r="D132" s="6"/>
      <c r="E132" s="6"/>
      <c r="F132" s="6"/>
      <c r="G132" s="6"/>
      <c r="H132" s="6"/>
      <c r="I132" s="6"/>
      <c r="J132" s="6"/>
      <c r="K132" s="6"/>
      <c r="L132" s="6"/>
      <c r="M132" s="6"/>
      <c r="N132" s="6"/>
      <c r="O132" s="6"/>
      <c r="P132" s="6"/>
      <c r="Q132" s="6"/>
      <c r="R132" s="6"/>
      <c r="S132" s="6"/>
      <c r="T132" s="6"/>
      <c r="U132" s="6"/>
      <c r="V132" s="6"/>
      <c r="W132" s="6"/>
      <c r="X132" s="6"/>
      <c r="Y132" s="6"/>
    </row>
    <row r="133" spans="3:25" ht="15">
      <c r="C133" s="6"/>
      <c r="D133" s="6"/>
      <c r="E133" s="6"/>
      <c r="F133" s="6"/>
      <c r="G133" s="6"/>
      <c r="H133" s="6"/>
      <c r="I133" s="6"/>
      <c r="J133" s="6"/>
      <c r="K133" s="6"/>
      <c r="L133" s="6"/>
      <c r="M133" s="6"/>
      <c r="N133" s="6"/>
      <c r="O133" s="6"/>
      <c r="P133" s="6"/>
      <c r="Q133" s="6"/>
      <c r="R133" s="6"/>
      <c r="S133" s="6"/>
      <c r="T133" s="6"/>
      <c r="U133" s="6"/>
      <c r="V133" s="6"/>
      <c r="W133" s="6"/>
      <c r="X133" s="6"/>
      <c r="Y133" s="6"/>
    </row>
    <row r="134" spans="3:25" ht="15">
      <c r="C134" s="6"/>
      <c r="D134" s="6"/>
      <c r="E134" s="6"/>
      <c r="F134" s="6"/>
      <c r="G134" s="6"/>
      <c r="H134" s="6"/>
      <c r="I134" s="6"/>
      <c r="J134" s="6"/>
      <c r="K134" s="6"/>
      <c r="L134" s="6"/>
      <c r="M134" s="6"/>
      <c r="N134" s="6"/>
      <c r="O134" s="6"/>
      <c r="P134" s="6"/>
      <c r="Q134" s="6"/>
      <c r="R134" s="6"/>
      <c r="S134" s="6"/>
      <c r="T134" s="6"/>
      <c r="U134" s="6"/>
      <c r="V134" s="6"/>
      <c r="W134" s="6"/>
      <c r="X134" s="6"/>
      <c r="Y134" s="6"/>
    </row>
    <row r="135" spans="3:25" ht="15">
      <c r="C135" s="6"/>
      <c r="D135" s="6"/>
      <c r="E135" s="6"/>
      <c r="F135" s="6"/>
      <c r="G135" s="6"/>
      <c r="H135" s="6"/>
      <c r="I135" s="6"/>
      <c r="J135" s="6"/>
      <c r="K135" s="6"/>
      <c r="L135" s="6"/>
      <c r="M135" s="6"/>
      <c r="N135" s="6"/>
      <c r="O135" s="6"/>
      <c r="P135" s="6"/>
      <c r="Q135" s="6"/>
      <c r="R135" s="6"/>
      <c r="S135" s="6"/>
      <c r="T135" s="6"/>
      <c r="U135" s="6"/>
      <c r="V135" s="6"/>
      <c r="W135" s="6"/>
      <c r="X135" s="6"/>
      <c r="Y135" s="6"/>
    </row>
    <row r="136" spans="3:25" ht="15">
      <c r="C136" s="6"/>
      <c r="D136" s="6"/>
      <c r="E136" s="6"/>
      <c r="F136" s="6"/>
      <c r="G136" s="6"/>
      <c r="H136" s="6"/>
      <c r="I136" s="6"/>
      <c r="J136" s="6"/>
      <c r="K136" s="6"/>
      <c r="L136" s="6"/>
      <c r="M136" s="6"/>
      <c r="N136" s="6"/>
      <c r="O136" s="6"/>
      <c r="P136" s="6"/>
      <c r="Q136" s="6"/>
      <c r="R136" s="6"/>
      <c r="S136" s="6"/>
      <c r="T136" s="6"/>
      <c r="U136" s="6"/>
      <c r="V136" s="6"/>
      <c r="W136" s="6"/>
      <c r="X136" s="6"/>
      <c r="Y136" s="6"/>
    </row>
    <row r="137" spans="3:25" ht="15">
      <c r="C137" s="6"/>
      <c r="D137" s="6"/>
      <c r="E137" s="6"/>
      <c r="F137" s="6"/>
      <c r="G137" s="6"/>
      <c r="H137" s="6"/>
      <c r="I137" s="6"/>
      <c r="J137" s="6"/>
      <c r="K137" s="6"/>
      <c r="L137" s="6"/>
      <c r="M137" s="6"/>
      <c r="N137" s="6"/>
      <c r="O137" s="6"/>
      <c r="P137" s="6"/>
      <c r="Q137" s="6"/>
      <c r="R137" s="6"/>
      <c r="S137" s="6"/>
      <c r="T137" s="6"/>
      <c r="U137" s="6"/>
      <c r="V137" s="6"/>
      <c r="W137" s="6"/>
      <c r="X137" s="6"/>
      <c r="Y137" s="6"/>
    </row>
    <row r="138" spans="3:25" ht="15">
      <c r="C138" s="6"/>
      <c r="D138" s="6"/>
      <c r="E138" s="6"/>
      <c r="F138" s="6"/>
      <c r="G138" s="6"/>
      <c r="H138" s="6"/>
      <c r="I138" s="6"/>
      <c r="J138" s="6"/>
      <c r="K138" s="6"/>
      <c r="L138" s="6"/>
      <c r="M138" s="6"/>
      <c r="N138" s="6"/>
      <c r="O138" s="6"/>
      <c r="P138" s="6"/>
      <c r="Q138" s="6"/>
      <c r="R138" s="6"/>
      <c r="S138" s="6"/>
      <c r="T138" s="6"/>
      <c r="U138" s="6"/>
      <c r="V138" s="6"/>
      <c r="W138" s="6"/>
      <c r="X138" s="6"/>
      <c r="Y138" s="6"/>
    </row>
    <row r="139" spans="3:25" ht="15">
      <c r="C139" s="6"/>
      <c r="D139" s="6"/>
      <c r="E139" s="6"/>
      <c r="F139" s="6"/>
      <c r="G139" s="6"/>
      <c r="H139" s="6"/>
      <c r="I139" s="6"/>
      <c r="J139" s="6"/>
      <c r="K139" s="6"/>
      <c r="L139" s="6"/>
      <c r="M139" s="6"/>
      <c r="N139" s="6"/>
      <c r="O139" s="6"/>
      <c r="P139" s="6"/>
      <c r="Q139" s="6"/>
      <c r="R139" s="6"/>
      <c r="S139" s="6"/>
      <c r="T139" s="6"/>
      <c r="U139" s="6"/>
      <c r="V139" s="6"/>
      <c r="W139" s="6"/>
      <c r="X139" s="6"/>
      <c r="Y139" s="6"/>
    </row>
    <row r="140" spans="3:25" ht="15">
      <c r="C140" s="6"/>
      <c r="D140" s="6"/>
      <c r="E140" s="6"/>
      <c r="F140" s="6"/>
      <c r="G140" s="6"/>
      <c r="H140" s="6"/>
      <c r="I140" s="6"/>
      <c r="J140" s="6"/>
      <c r="K140" s="6"/>
      <c r="L140" s="6"/>
      <c r="M140" s="6"/>
      <c r="N140" s="6"/>
      <c r="O140" s="6"/>
      <c r="P140" s="6"/>
      <c r="Q140" s="6"/>
      <c r="R140" s="6"/>
      <c r="S140" s="6"/>
      <c r="T140" s="6"/>
      <c r="U140" s="6"/>
      <c r="V140" s="6"/>
      <c r="W140" s="6"/>
      <c r="X140" s="6"/>
      <c r="Y140" s="6"/>
    </row>
    <row r="141" spans="3:25" ht="15">
      <c r="C141" s="6"/>
      <c r="D141" s="6"/>
      <c r="E141" s="6"/>
      <c r="F141" s="6"/>
      <c r="G141" s="6"/>
      <c r="H141" s="6"/>
      <c r="I141" s="6"/>
      <c r="J141" s="6"/>
      <c r="K141" s="6"/>
      <c r="L141" s="6"/>
      <c r="M141" s="6"/>
      <c r="N141" s="6"/>
      <c r="O141" s="6"/>
      <c r="P141" s="6"/>
      <c r="Q141" s="6"/>
      <c r="R141" s="6"/>
      <c r="S141" s="6"/>
      <c r="T141" s="6"/>
      <c r="U141" s="6"/>
      <c r="V141" s="6"/>
      <c r="W141" s="6"/>
      <c r="X141" s="6"/>
      <c r="Y141" s="6"/>
    </row>
    <row r="142" spans="3:25" ht="15">
      <c r="C142" s="6"/>
      <c r="D142" s="6"/>
      <c r="E142" s="6"/>
      <c r="F142" s="6"/>
      <c r="G142" s="6"/>
      <c r="H142" s="6"/>
      <c r="I142" s="6"/>
      <c r="J142" s="6"/>
      <c r="K142" s="6"/>
      <c r="L142" s="6"/>
      <c r="M142" s="6"/>
      <c r="N142" s="6"/>
      <c r="O142" s="6"/>
      <c r="P142" s="6"/>
      <c r="Q142" s="6"/>
      <c r="R142" s="6"/>
      <c r="S142" s="6"/>
      <c r="T142" s="6"/>
      <c r="U142" s="6"/>
      <c r="V142" s="6"/>
      <c r="W142" s="6"/>
      <c r="X142" s="6"/>
      <c r="Y142" s="6"/>
    </row>
    <row r="143" spans="3:25" ht="15">
      <c r="C143" s="6"/>
      <c r="D143" s="6"/>
      <c r="E143" s="6"/>
      <c r="F143" s="6"/>
      <c r="G143" s="6"/>
      <c r="H143" s="6"/>
      <c r="I143" s="6"/>
      <c r="J143" s="6"/>
      <c r="K143" s="6"/>
      <c r="L143" s="6"/>
      <c r="M143" s="6"/>
      <c r="N143" s="6"/>
      <c r="O143" s="6"/>
      <c r="P143" s="6"/>
      <c r="Q143" s="6"/>
      <c r="R143" s="6"/>
      <c r="S143" s="6"/>
      <c r="T143" s="6"/>
      <c r="U143" s="6"/>
      <c r="V143" s="6"/>
      <c r="W143" s="6"/>
      <c r="X143" s="6"/>
      <c r="Y143" s="6"/>
    </row>
    <row r="144" spans="3:25" ht="15">
      <c r="C144" s="6"/>
      <c r="D144" s="6"/>
      <c r="E144" s="6"/>
      <c r="F144" s="6"/>
      <c r="G144" s="6"/>
      <c r="H144" s="6"/>
      <c r="I144" s="6"/>
      <c r="J144" s="6"/>
      <c r="K144" s="6"/>
      <c r="L144" s="6"/>
      <c r="M144" s="6"/>
      <c r="N144" s="6"/>
      <c r="O144" s="6"/>
      <c r="P144" s="6"/>
      <c r="Q144" s="6"/>
      <c r="R144" s="6"/>
      <c r="S144" s="6"/>
      <c r="T144" s="6"/>
      <c r="U144" s="6"/>
      <c r="V144" s="6"/>
      <c r="W144" s="6"/>
      <c r="X144" s="6"/>
      <c r="Y144" s="6"/>
    </row>
    <row r="145" spans="3:25" ht="15">
      <c r="C145" s="6"/>
      <c r="D145" s="6"/>
      <c r="E145" s="6"/>
      <c r="F145" s="6"/>
      <c r="G145" s="6"/>
      <c r="H145" s="6"/>
      <c r="I145" s="6"/>
      <c r="J145" s="6"/>
      <c r="K145" s="6"/>
      <c r="L145" s="6"/>
      <c r="M145" s="6"/>
      <c r="N145" s="6"/>
      <c r="O145" s="6"/>
      <c r="P145" s="6"/>
      <c r="Q145" s="6"/>
      <c r="R145" s="6"/>
      <c r="S145" s="6"/>
      <c r="T145" s="6"/>
      <c r="U145" s="6"/>
      <c r="V145" s="6"/>
      <c r="W145" s="6"/>
      <c r="X145" s="6"/>
      <c r="Y145" s="6"/>
    </row>
    <row r="146" spans="3:25" ht="15">
      <c r="C146" s="6"/>
      <c r="D146" s="6"/>
      <c r="E146" s="6"/>
      <c r="F146" s="6"/>
      <c r="G146" s="6"/>
      <c r="H146" s="6"/>
      <c r="I146" s="6"/>
      <c r="J146" s="6"/>
      <c r="K146" s="6"/>
      <c r="L146" s="6"/>
      <c r="M146" s="6"/>
      <c r="N146" s="6"/>
      <c r="O146" s="6"/>
      <c r="P146" s="6"/>
      <c r="Q146" s="6"/>
      <c r="R146" s="6"/>
      <c r="S146" s="6"/>
      <c r="T146" s="6"/>
      <c r="U146" s="6"/>
      <c r="V146" s="6"/>
      <c r="W146" s="6"/>
      <c r="X146" s="6"/>
      <c r="Y146" s="6"/>
    </row>
    <row r="147" spans="3:25" ht="15">
      <c r="C147" s="6"/>
      <c r="D147" s="6"/>
      <c r="E147" s="6"/>
      <c r="F147" s="6"/>
      <c r="G147" s="6"/>
      <c r="H147" s="6"/>
      <c r="I147" s="6"/>
      <c r="J147" s="6"/>
      <c r="K147" s="6"/>
      <c r="L147" s="6"/>
      <c r="M147" s="6"/>
      <c r="N147" s="6"/>
      <c r="O147" s="6"/>
      <c r="P147" s="6"/>
      <c r="Q147" s="6"/>
      <c r="R147" s="6"/>
      <c r="S147" s="6"/>
      <c r="T147" s="6"/>
      <c r="U147" s="6"/>
      <c r="V147" s="6"/>
      <c r="W147" s="6"/>
      <c r="X147" s="6"/>
      <c r="Y147" s="6"/>
    </row>
    <row r="148" spans="3:25" ht="15">
      <c r="C148" s="6"/>
      <c r="D148" s="6"/>
      <c r="E148" s="6"/>
      <c r="F148" s="6"/>
      <c r="G148" s="6"/>
      <c r="H148" s="6"/>
      <c r="I148" s="6"/>
      <c r="J148" s="6"/>
      <c r="K148" s="6"/>
      <c r="L148" s="6"/>
      <c r="M148" s="6"/>
      <c r="N148" s="6"/>
      <c r="O148" s="6"/>
      <c r="P148" s="6"/>
      <c r="Q148" s="6"/>
      <c r="R148" s="6"/>
      <c r="S148" s="6"/>
      <c r="T148" s="6"/>
      <c r="U148" s="6"/>
      <c r="V148" s="6"/>
      <c r="W148" s="6"/>
      <c r="X148" s="6"/>
      <c r="Y148" s="6"/>
    </row>
    <row r="149" spans="3:25" ht="15">
      <c r="C149" s="6"/>
      <c r="D149" s="6"/>
      <c r="E149" s="6"/>
      <c r="F149" s="6"/>
      <c r="G149" s="6"/>
      <c r="H149" s="6"/>
      <c r="I149" s="6"/>
      <c r="J149" s="6"/>
      <c r="K149" s="6"/>
      <c r="L149" s="6"/>
      <c r="M149" s="6"/>
      <c r="N149" s="6"/>
      <c r="O149" s="6"/>
      <c r="P149" s="6"/>
      <c r="Q149" s="6"/>
      <c r="R149" s="6"/>
      <c r="S149" s="6"/>
      <c r="T149" s="6"/>
      <c r="U149" s="6"/>
      <c r="V149" s="6"/>
      <c r="W149" s="6"/>
      <c r="X149" s="6"/>
      <c r="Y149" s="6"/>
    </row>
    <row r="150" spans="3:25" ht="15">
      <c r="C150" s="6"/>
      <c r="D150" s="6"/>
      <c r="E150" s="6"/>
      <c r="F150" s="6"/>
      <c r="G150" s="6"/>
      <c r="H150" s="6"/>
      <c r="I150" s="6"/>
      <c r="J150" s="6"/>
      <c r="K150" s="6"/>
      <c r="L150" s="6"/>
      <c r="M150" s="6"/>
      <c r="N150" s="6"/>
      <c r="O150" s="6"/>
      <c r="P150" s="6"/>
      <c r="Q150" s="6"/>
      <c r="R150" s="6"/>
      <c r="S150" s="6"/>
      <c r="T150" s="6"/>
      <c r="U150" s="6"/>
      <c r="V150" s="6"/>
      <c r="W150" s="6"/>
      <c r="X150" s="6"/>
      <c r="Y150" s="6"/>
    </row>
    <row r="151" spans="3:25" ht="15">
      <c r="C151" s="6"/>
      <c r="D151" s="6"/>
      <c r="E151" s="6"/>
      <c r="F151" s="6"/>
      <c r="G151" s="6"/>
      <c r="H151" s="6"/>
      <c r="I151" s="6"/>
      <c r="J151" s="6"/>
      <c r="K151" s="6"/>
      <c r="L151" s="6"/>
      <c r="M151" s="6"/>
      <c r="N151" s="6"/>
      <c r="O151" s="6"/>
      <c r="P151" s="6"/>
      <c r="Q151" s="6"/>
      <c r="R151" s="6"/>
      <c r="S151" s="6"/>
      <c r="T151" s="6"/>
      <c r="U151" s="6"/>
      <c r="V151" s="6"/>
      <c r="W151" s="6"/>
      <c r="X151" s="6"/>
      <c r="Y151" s="6"/>
    </row>
    <row r="152" spans="3:25" ht="15">
      <c r="C152" s="6"/>
      <c r="D152" s="6"/>
      <c r="E152" s="6"/>
      <c r="F152" s="6"/>
      <c r="G152" s="6"/>
      <c r="H152" s="6"/>
      <c r="I152" s="6"/>
      <c r="J152" s="6"/>
      <c r="K152" s="6"/>
      <c r="L152" s="6"/>
      <c r="M152" s="6"/>
      <c r="N152" s="6"/>
      <c r="O152" s="6"/>
      <c r="P152" s="6"/>
      <c r="Q152" s="6"/>
      <c r="R152" s="6"/>
      <c r="S152" s="6"/>
      <c r="T152" s="6"/>
      <c r="U152" s="6"/>
      <c r="V152" s="6"/>
      <c r="W152" s="6"/>
      <c r="X152" s="6"/>
      <c r="Y152" s="6"/>
    </row>
    <row r="153" spans="3:25" ht="15">
      <c r="C153" s="6"/>
      <c r="D153" s="6"/>
      <c r="E153" s="6"/>
      <c r="F153" s="6"/>
      <c r="G153" s="6"/>
      <c r="H153" s="6"/>
      <c r="I153" s="6"/>
      <c r="J153" s="6"/>
      <c r="K153" s="6"/>
      <c r="L153" s="6"/>
      <c r="M153" s="6"/>
      <c r="N153" s="6"/>
      <c r="O153" s="6"/>
      <c r="P153" s="6"/>
      <c r="Q153" s="6"/>
      <c r="R153" s="6"/>
      <c r="S153" s="6"/>
      <c r="T153" s="6"/>
      <c r="U153" s="6"/>
      <c r="V153" s="6"/>
      <c r="W153" s="6"/>
      <c r="X153" s="6"/>
      <c r="Y153" s="6"/>
    </row>
    <row r="154" spans="3:25" ht="15">
      <c r="C154" s="6"/>
      <c r="D154" s="6"/>
      <c r="E154" s="6"/>
      <c r="F154" s="6"/>
      <c r="G154" s="6"/>
      <c r="H154" s="6"/>
      <c r="I154" s="6"/>
      <c r="J154" s="6"/>
      <c r="K154" s="6"/>
      <c r="L154" s="6"/>
      <c r="M154" s="6"/>
      <c r="N154" s="6"/>
      <c r="O154" s="6"/>
      <c r="P154" s="6"/>
      <c r="Q154" s="6"/>
      <c r="R154" s="6"/>
      <c r="S154" s="6"/>
      <c r="T154" s="6"/>
      <c r="U154" s="6"/>
      <c r="V154" s="6"/>
      <c r="W154" s="6"/>
      <c r="X154" s="6"/>
      <c r="Y154" s="6"/>
    </row>
    <row r="155" spans="3:25" ht="15">
      <c r="C155" s="6"/>
      <c r="D155" s="6"/>
      <c r="E155" s="6"/>
      <c r="F155" s="6"/>
      <c r="G155" s="6"/>
      <c r="H155" s="6"/>
      <c r="I155" s="6"/>
      <c r="J155" s="6"/>
      <c r="K155" s="6"/>
      <c r="L155" s="6"/>
      <c r="M155" s="6"/>
      <c r="N155" s="6"/>
      <c r="O155" s="6"/>
      <c r="P155" s="6"/>
      <c r="Q155" s="6"/>
      <c r="R155" s="6"/>
      <c r="S155" s="6"/>
      <c r="T155" s="6"/>
      <c r="U155" s="6"/>
      <c r="V155" s="6"/>
      <c r="W155" s="6"/>
      <c r="X155" s="6"/>
      <c r="Y155" s="6"/>
    </row>
    <row r="156" spans="3:25" ht="15">
      <c r="C156" s="6"/>
      <c r="D156" s="6"/>
      <c r="E156" s="6"/>
      <c r="F156" s="6"/>
      <c r="G156" s="6"/>
      <c r="H156" s="6"/>
      <c r="I156" s="6"/>
      <c r="J156" s="6"/>
      <c r="K156" s="6"/>
      <c r="L156" s="6"/>
      <c r="M156" s="6"/>
      <c r="N156" s="6"/>
      <c r="O156" s="6"/>
      <c r="P156" s="6"/>
      <c r="Q156" s="6"/>
      <c r="R156" s="6"/>
      <c r="S156" s="6"/>
      <c r="T156" s="6"/>
      <c r="U156" s="6"/>
      <c r="V156" s="6"/>
      <c r="W156" s="6"/>
      <c r="X156" s="6"/>
      <c r="Y156" s="6"/>
    </row>
    <row r="157" spans="3:25" ht="15">
      <c r="C157" s="6"/>
      <c r="D157" s="6"/>
      <c r="E157" s="6"/>
      <c r="F157" s="6"/>
      <c r="G157" s="6"/>
      <c r="H157" s="6"/>
      <c r="I157" s="6"/>
      <c r="J157" s="6"/>
      <c r="K157" s="6"/>
      <c r="L157" s="6"/>
      <c r="M157" s="6"/>
      <c r="N157" s="6"/>
      <c r="O157" s="6"/>
      <c r="P157" s="6"/>
      <c r="Q157" s="6"/>
      <c r="R157" s="6"/>
      <c r="S157" s="6"/>
      <c r="T157" s="6"/>
      <c r="U157" s="6"/>
      <c r="V157" s="6"/>
      <c r="W157" s="6"/>
      <c r="X157" s="6"/>
      <c r="Y157" s="6"/>
    </row>
    <row r="158" spans="3:25" ht="15">
      <c r="C158" s="6"/>
      <c r="D158" s="6"/>
      <c r="E158" s="6"/>
      <c r="F158" s="6"/>
      <c r="G158" s="6"/>
      <c r="H158" s="6"/>
      <c r="I158" s="6"/>
      <c r="J158" s="6"/>
      <c r="K158" s="6"/>
      <c r="L158" s="6"/>
      <c r="M158" s="6"/>
      <c r="N158" s="6"/>
      <c r="O158" s="6"/>
      <c r="P158" s="6"/>
      <c r="Q158" s="6"/>
      <c r="R158" s="6"/>
      <c r="S158" s="6"/>
      <c r="T158" s="6"/>
      <c r="U158" s="6"/>
      <c r="V158" s="6"/>
      <c r="W158" s="6"/>
      <c r="X158" s="6"/>
      <c r="Y158" s="6"/>
    </row>
    <row r="159" spans="3:25" ht="15">
      <c r="C159" s="6"/>
      <c r="D159" s="6"/>
      <c r="E159" s="6"/>
      <c r="F159" s="6"/>
      <c r="G159" s="6"/>
      <c r="H159" s="6"/>
      <c r="I159" s="6"/>
      <c r="J159" s="6"/>
      <c r="K159" s="6"/>
      <c r="L159" s="6"/>
      <c r="M159" s="6"/>
      <c r="N159" s="6"/>
      <c r="O159" s="6"/>
      <c r="P159" s="6"/>
      <c r="Q159" s="6"/>
      <c r="R159" s="6"/>
      <c r="S159" s="6"/>
      <c r="T159" s="6"/>
      <c r="U159" s="6"/>
      <c r="V159" s="6"/>
      <c r="W159" s="6"/>
      <c r="X159" s="6"/>
      <c r="Y159" s="6"/>
    </row>
    <row r="160" spans="3:25" ht="15">
      <c r="C160" s="6"/>
      <c r="D160" s="6"/>
      <c r="E160" s="6"/>
      <c r="F160" s="6"/>
      <c r="G160" s="6"/>
      <c r="H160" s="6"/>
      <c r="I160" s="6"/>
      <c r="J160" s="6"/>
      <c r="K160" s="6"/>
      <c r="L160" s="6"/>
      <c r="M160" s="6"/>
      <c r="N160" s="6"/>
      <c r="O160" s="6"/>
      <c r="P160" s="6"/>
      <c r="Q160" s="6"/>
      <c r="R160" s="6"/>
      <c r="S160" s="6"/>
      <c r="T160" s="6"/>
      <c r="U160" s="6"/>
      <c r="V160" s="6"/>
      <c r="W160" s="6"/>
      <c r="X160" s="6"/>
      <c r="Y160" s="6"/>
    </row>
    <row r="161" spans="3:25" ht="15">
      <c r="C161" s="6"/>
      <c r="D161" s="6"/>
      <c r="E161" s="6"/>
      <c r="F161" s="6"/>
      <c r="G161" s="6"/>
      <c r="H161" s="6"/>
      <c r="I161" s="6"/>
      <c r="J161" s="6"/>
      <c r="K161" s="6"/>
      <c r="L161" s="6"/>
      <c r="M161" s="6"/>
      <c r="N161" s="6"/>
      <c r="O161" s="6"/>
      <c r="P161" s="6"/>
      <c r="Q161" s="6"/>
      <c r="R161" s="6"/>
      <c r="S161" s="6"/>
      <c r="T161" s="6"/>
      <c r="U161" s="6"/>
      <c r="V161" s="6"/>
      <c r="W161" s="6"/>
      <c r="X161" s="6"/>
      <c r="Y161" s="6"/>
    </row>
    <row r="162" spans="3:25" ht="15">
      <c r="C162" s="6"/>
      <c r="D162" s="6"/>
      <c r="E162" s="6"/>
      <c r="F162" s="6"/>
      <c r="G162" s="6"/>
      <c r="H162" s="6"/>
      <c r="I162" s="6"/>
      <c r="J162" s="6"/>
      <c r="K162" s="6"/>
      <c r="L162" s="6"/>
      <c r="M162" s="6"/>
      <c r="N162" s="6"/>
      <c r="O162" s="6"/>
      <c r="P162" s="6"/>
      <c r="Q162" s="6"/>
      <c r="R162" s="6"/>
      <c r="S162" s="6"/>
      <c r="T162" s="6"/>
      <c r="U162" s="6"/>
      <c r="V162" s="6"/>
      <c r="W162" s="6"/>
      <c r="X162" s="6"/>
      <c r="Y162" s="6"/>
    </row>
    <row r="163" spans="3:25" ht="15">
      <c r="C163" s="6"/>
      <c r="D163" s="6"/>
      <c r="E163" s="6"/>
      <c r="F163" s="6"/>
      <c r="G163" s="6"/>
      <c r="H163" s="6"/>
      <c r="I163" s="6"/>
      <c r="J163" s="6"/>
      <c r="K163" s="6"/>
      <c r="L163" s="6"/>
      <c r="M163" s="6"/>
      <c r="N163" s="6"/>
      <c r="O163" s="6"/>
      <c r="P163" s="6"/>
      <c r="Q163" s="6"/>
      <c r="R163" s="6"/>
      <c r="S163" s="6"/>
      <c r="T163" s="6"/>
      <c r="U163" s="6"/>
      <c r="V163" s="6"/>
      <c r="W163" s="6"/>
      <c r="X163" s="6"/>
      <c r="Y163" s="6"/>
    </row>
    <row r="164" spans="3:25" ht="15">
      <c r="C164" s="6"/>
      <c r="D164" s="6"/>
      <c r="E164" s="6"/>
      <c r="F164" s="6"/>
      <c r="G164" s="6"/>
      <c r="H164" s="6"/>
      <c r="I164" s="6"/>
      <c r="J164" s="6"/>
      <c r="K164" s="6"/>
      <c r="L164" s="6"/>
      <c r="M164" s="6"/>
      <c r="N164" s="6"/>
      <c r="O164" s="6"/>
      <c r="P164" s="6"/>
      <c r="Q164" s="6"/>
      <c r="R164" s="6"/>
      <c r="S164" s="6"/>
      <c r="T164" s="6"/>
      <c r="U164" s="6"/>
      <c r="V164" s="6"/>
      <c r="W164" s="6"/>
      <c r="X164" s="6"/>
      <c r="Y164" s="6"/>
    </row>
    <row r="165" spans="3:25" ht="15">
      <c r="C165" s="6"/>
      <c r="D165" s="6"/>
      <c r="E165" s="6"/>
      <c r="F165" s="6"/>
      <c r="G165" s="6"/>
      <c r="H165" s="6"/>
      <c r="I165" s="6"/>
      <c r="J165" s="6"/>
      <c r="K165" s="6"/>
      <c r="L165" s="6"/>
      <c r="M165" s="6"/>
      <c r="N165" s="6"/>
      <c r="O165" s="6"/>
      <c r="P165" s="6"/>
      <c r="Q165" s="6"/>
      <c r="R165" s="6"/>
      <c r="S165" s="6"/>
      <c r="T165" s="6"/>
      <c r="U165" s="6"/>
      <c r="V165" s="6"/>
      <c r="W165" s="6"/>
      <c r="X165" s="6"/>
      <c r="Y165" s="6"/>
    </row>
    <row r="166" spans="3:25" ht="15">
      <c r="C166" s="6"/>
      <c r="D166" s="6"/>
      <c r="E166" s="6"/>
      <c r="F166" s="6"/>
      <c r="G166" s="6"/>
      <c r="H166" s="6"/>
      <c r="I166" s="6"/>
      <c r="J166" s="6"/>
      <c r="K166" s="6"/>
      <c r="L166" s="6"/>
      <c r="M166" s="6"/>
      <c r="N166" s="6"/>
      <c r="O166" s="6"/>
      <c r="P166" s="6"/>
      <c r="Q166" s="6"/>
      <c r="R166" s="6"/>
      <c r="S166" s="6"/>
      <c r="T166" s="6"/>
      <c r="U166" s="6"/>
      <c r="V166" s="6"/>
      <c r="W166" s="6"/>
      <c r="X166" s="6"/>
      <c r="Y166" s="6"/>
    </row>
    <row r="167" spans="3:25" ht="15">
      <c r="C167" s="6"/>
      <c r="D167" s="6"/>
      <c r="E167" s="6"/>
      <c r="F167" s="6"/>
      <c r="G167" s="6"/>
      <c r="H167" s="6"/>
      <c r="I167" s="6"/>
      <c r="J167" s="6"/>
      <c r="K167" s="6"/>
      <c r="L167" s="6"/>
      <c r="M167" s="6"/>
      <c r="N167" s="6"/>
      <c r="O167" s="6"/>
      <c r="P167" s="6"/>
      <c r="Q167" s="6"/>
      <c r="R167" s="6"/>
      <c r="S167" s="6"/>
      <c r="T167" s="6"/>
      <c r="U167" s="6"/>
      <c r="V167" s="6"/>
      <c r="W167" s="6"/>
      <c r="X167" s="6"/>
      <c r="Y167" s="6"/>
    </row>
    <row r="168" spans="3:25" ht="15">
      <c r="C168" s="6"/>
      <c r="D168" s="6"/>
      <c r="E168" s="6"/>
      <c r="F168" s="6"/>
      <c r="G168" s="6"/>
      <c r="H168" s="6"/>
      <c r="I168" s="6"/>
      <c r="J168" s="6"/>
      <c r="K168" s="6"/>
      <c r="L168" s="6"/>
      <c r="M168" s="6"/>
      <c r="N168" s="6"/>
      <c r="O168" s="6"/>
      <c r="P168" s="6"/>
      <c r="Q168" s="6"/>
      <c r="R168" s="6"/>
      <c r="S168" s="6"/>
      <c r="T168" s="6"/>
      <c r="U168" s="6"/>
      <c r="V168" s="6"/>
      <c r="W168" s="6"/>
      <c r="X168" s="6"/>
      <c r="Y168" s="6"/>
    </row>
    <row r="169" spans="3:25" ht="15">
      <c r="C169" s="6"/>
      <c r="D169" s="6"/>
      <c r="E169" s="6"/>
      <c r="F169" s="6"/>
      <c r="G169" s="6"/>
      <c r="H169" s="6"/>
      <c r="I169" s="6"/>
      <c r="J169" s="6"/>
      <c r="K169" s="6"/>
      <c r="L169" s="6"/>
      <c r="M169" s="6"/>
      <c r="N169" s="6"/>
      <c r="O169" s="6"/>
      <c r="P169" s="6"/>
      <c r="Q169" s="6"/>
      <c r="R169" s="6"/>
      <c r="S169" s="6"/>
      <c r="T169" s="6"/>
      <c r="U169" s="6"/>
      <c r="V169" s="6"/>
      <c r="W169" s="6"/>
      <c r="X169" s="6"/>
      <c r="Y169" s="6"/>
    </row>
    <row r="170" spans="3:25" ht="15">
      <c r="C170" s="6"/>
      <c r="D170" s="6"/>
      <c r="E170" s="6"/>
      <c r="F170" s="6"/>
      <c r="G170" s="6"/>
      <c r="H170" s="6"/>
      <c r="I170" s="6"/>
      <c r="J170" s="6"/>
      <c r="K170" s="6"/>
      <c r="L170" s="6"/>
      <c r="M170" s="6"/>
      <c r="N170" s="6"/>
      <c r="O170" s="6"/>
      <c r="P170" s="6"/>
      <c r="Q170" s="6"/>
      <c r="R170" s="6"/>
      <c r="S170" s="6"/>
      <c r="T170" s="6"/>
      <c r="U170" s="6"/>
      <c r="V170" s="6"/>
      <c r="W170" s="6"/>
      <c r="X170" s="6"/>
      <c r="Y170" s="6"/>
    </row>
    <row r="171" spans="3:25" ht="15">
      <c r="C171" s="6"/>
      <c r="D171" s="6"/>
      <c r="E171" s="6"/>
      <c r="F171" s="6"/>
      <c r="G171" s="6"/>
      <c r="H171" s="6"/>
      <c r="I171" s="6"/>
      <c r="J171" s="6"/>
      <c r="K171" s="6"/>
      <c r="L171" s="6"/>
      <c r="M171" s="6"/>
      <c r="N171" s="6"/>
      <c r="O171" s="6"/>
      <c r="P171" s="6"/>
      <c r="Q171" s="6"/>
      <c r="R171" s="6"/>
      <c r="S171" s="6"/>
      <c r="T171" s="6"/>
      <c r="U171" s="6"/>
      <c r="V171" s="6"/>
      <c r="W171" s="6"/>
      <c r="X171" s="6"/>
      <c r="Y171" s="6"/>
    </row>
    <row r="172" spans="3:25" ht="15">
      <c r="C172" s="6"/>
      <c r="D172" s="6"/>
      <c r="E172" s="6"/>
      <c r="F172" s="6"/>
      <c r="G172" s="6"/>
      <c r="H172" s="6"/>
      <c r="I172" s="6"/>
      <c r="J172" s="6"/>
      <c r="K172" s="6"/>
      <c r="L172" s="6"/>
      <c r="M172" s="6"/>
      <c r="N172" s="6"/>
      <c r="O172" s="6"/>
      <c r="P172" s="6"/>
      <c r="Q172" s="6"/>
      <c r="R172" s="6"/>
      <c r="S172" s="6"/>
      <c r="T172" s="6"/>
      <c r="U172" s="6"/>
      <c r="V172" s="6"/>
      <c r="W172" s="6"/>
      <c r="X172" s="6"/>
      <c r="Y172" s="6"/>
    </row>
    <row r="173" spans="3:25" ht="15">
      <c r="C173" s="6"/>
      <c r="D173" s="6"/>
      <c r="E173" s="6"/>
      <c r="F173" s="6"/>
      <c r="G173" s="6"/>
      <c r="H173" s="6"/>
      <c r="I173" s="6"/>
      <c r="J173" s="6"/>
      <c r="K173" s="6"/>
      <c r="L173" s="6"/>
      <c r="M173" s="6"/>
      <c r="N173" s="6"/>
      <c r="O173" s="6"/>
      <c r="P173" s="6"/>
      <c r="Q173" s="6"/>
      <c r="R173" s="6"/>
      <c r="S173" s="6"/>
      <c r="T173" s="6"/>
      <c r="U173" s="6"/>
      <c r="V173" s="6"/>
      <c r="W173" s="6"/>
      <c r="X173" s="6"/>
      <c r="Y173" s="6"/>
    </row>
    <row r="174" spans="3:25" ht="15">
      <c r="C174" s="6"/>
      <c r="D174" s="6"/>
      <c r="E174" s="6"/>
      <c r="F174" s="6"/>
      <c r="G174" s="6"/>
      <c r="H174" s="6"/>
      <c r="I174" s="6"/>
      <c r="J174" s="6"/>
      <c r="P174" s="6"/>
      <c r="Q174" s="6"/>
      <c r="R174" s="6"/>
      <c r="S174" s="6"/>
      <c r="T174" s="6"/>
      <c r="U174" s="6"/>
      <c r="V174" s="6"/>
      <c r="W174" s="6"/>
      <c r="X174" s="6"/>
      <c r="Y174" s="6"/>
    </row>
    <row r="175" spans="3:25" ht="15">
      <c r="C175" s="6"/>
      <c r="D175" s="6"/>
      <c r="E175" s="6"/>
      <c r="F175" s="6"/>
      <c r="G175" s="6"/>
      <c r="H175" s="6"/>
      <c r="I175" s="6"/>
      <c r="J175" s="6"/>
      <c r="P175" s="6"/>
      <c r="Q175" s="6"/>
      <c r="R175" s="6"/>
      <c r="S175" s="6"/>
      <c r="T175" s="6"/>
      <c r="U175" s="6"/>
      <c r="V175" s="6"/>
      <c r="W175" s="6"/>
      <c r="X175" s="6"/>
      <c r="Y175" s="6"/>
    </row>
    <row r="176" spans="3:25" ht="15">
      <c r="C176" s="6"/>
      <c r="D176" s="6"/>
      <c r="E176" s="6"/>
      <c r="F176" s="6"/>
      <c r="G176" s="6"/>
      <c r="H176" s="6"/>
      <c r="I176" s="6"/>
      <c r="J176" s="6"/>
      <c r="P176" s="6"/>
      <c r="Q176" s="6"/>
      <c r="R176" s="6"/>
      <c r="S176" s="6"/>
      <c r="T176" s="6"/>
      <c r="U176" s="6"/>
      <c r="V176" s="6"/>
      <c r="W176" s="6"/>
      <c r="X176" s="6"/>
      <c r="Y176" s="6"/>
    </row>
    <row r="177" spans="3:25" ht="15">
      <c r="C177" s="6"/>
      <c r="D177" s="6"/>
      <c r="E177" s="6"/>
      <c r="F177" s="6"/>
      <c r="G177" s="6"/>
      <c r="H177" s="6"/>
      <c r="I177" s="6"/>
      <c r="J177" s="6"/>
      <c r="P177" s="6"/>
      <c r="Q177" s="6"/>
      <c r="R177" s="6"/>
      <c r="S177" s="6"/>
      <c r="T177" s="6"/>
      <c r="U177" s="6"/>
      <c r="V177" s="6"/>
      <c r="W177" s="6"/>
      <c r="X177" s="6"/>
      <c r="Y177" s="6"/>
    </row>
    <row r="178" spans="3:7" ht="15">
      <c r="C178" s="6"/>
      <c r="D178" s="6"/>
      <c r="E178" s="6"/>
      <c r="F178" s="6"/>
      <c r="G178" s="6"/>
    </row>
    <row r="179" spans="3:7" ht="15">
      <c r="C179" s="6"/>
      <c r="D179" s="6"/>
      <c r="E179" s="6"/>
      <c r="F179" s="6"/>
      <c r="G179" s="6"/>
    </row>
    <row r="180" spans="3:7" ht="15">
      <c r="C180" s="6"/>
      <c r="D180" s="6"/>
      <c r="E180" s="6"/>
      <c r="F180" s="6"/>
      <c r="G180" s="6"/>
    </row>
    <row r="181" spans="3:7" ht="15">
      <c r="C181" s="6"/>
      <c r="D181" s="6"/>
      <c r="E181" s="6"/>
      <c r="F181" s="6"/>
      <c r="G181" s="6"/>
    </row>
    <row r="182" spans="3:7" ht="15">
      <c r="C182" s="6"/>
      <c r="D182" s="6"/>
      <c r="E182" s="6"/>
      <c r="F182" s="6"/>
      <c r="G182" s="6"/>
    </row>
    <row r="183" spans="3:7" ht="15">
      <c r="C183" s="6"/>
      <c r="D183" s="6"/>
      <c r="E183" s="6"/>
      <c r="F183" s="6"/>
      <c r="G183" s="6"/>
    </row>
    <row r="184" spans="3:7" ht="15">
      <c r="C184" s="6"/>
      <c r="D184" s="6"/>
      <c r="E184" s="6"/>
      <c r="F184" s="6"/>
      <c r="G184" s="6"/>
    </row>
    <row r="185" spans="3:7" ht="15">
      <c r="C185" s="6"/>
      <c r="D185" s="6"/>
      <c r="E185" s="6"/>
      <c r="F185" s="6"/>
      <c r="G185" s="6"/>
    </row>
    <row r="186" spans="3:7" ht="15">
      <c r="C186" s="6"/>
      <c r="D186" s="6"/>
      <c r="E186" s="6"/>
      <c r="F186" s="6"/>
      <c r="G186" s="6"/>
    </row>
    <row r="187" spans="3:7" ht="15">
      <c r="C187" s="6"/>
      <c r="D187" s="6"/>
      <c r="E187" s="6"/>
      <c r="F187" s="6"/>
      <c r="G187" s="6"/>
    </row>
    <row r="188" spans="3:7" ht="15">
      <c r="C188" s="6"/>
      <c r="D188" s="6"/>
      <c r="E188" s="6"/>
      <c r="F188" s="6"/>
      <c r="G188" s="6"/>
    </row>
    <row r="189" spans="3:7" ht="15">
      <c r="C189" s="6"/>
      <c r="D189" s="6"/>
      <c r="E189" s="6"/>
      <c r="F189" s="6"/>
      <c r="G189" s="6"/>
    </row>
    <row r="190" spans="3:7" ht="15">
      <c r="C190" s="6"/>
      <c r="D190" s="6"/>
      <c r="E190" s="6"/>
      <c r="F190" s="6"/>
      <c r="G190" s="6"/>
    </row>
    <row r="191" spans="3:7" ht="15">
      <c r="C191" s="6"/>
      <c r="D191" s="6"/>
      <c r="E191" s="6"/>
      <c r="F191" s="6"/>
      <c r="G191" s="6"/>
    </row>
    <row r="192" spans="3:7" ht="15">
      <c r="C192" s="6"/>
      <c r="D192" s="6"/>
      <c r="E192" s="6"/>
      <c r="F192" s="6"/>
      <c r="G192" s="6"/>
    </row>
    <row r="193" spans="3:7" ht="15">
      <c r="C193" s="6"/>
      <c r="D193" s="6"/>
      <c r="E193" s="6"/>
      <c r="F193" s="6"/>
      <c r="G193" s="6"/>
    </row>
  </sheetData>
  <sheetProtection sheet="1"/>
  <mergeCells count="15">
    <mergeCell ref="E15:F15"/>
    <mergeCell ref="E17:F17"/>
    <mergeCell ref="D26:D27"/>
    <mergeCell ref="E26:H26"/>
    <mergeCell ref="E22:F22"/>
    <mergeCell ref="E14:F14"/>
    <mergeCell ref="I10:M10"/>
    <mergeCell ref="C1:D1"/>
    <mergeCell ref="E12:F12"/>
    <mergeCell ref="E13:F13"/>
    <mergeCell ref="C5:G5"/>
    <mergeCell ref="C6:G6"/>
    <mergeCell ref="C7:G7"/>
    <mergeCell ref="C8:G8"/>
    <mergeCell ref="C2:D2"/>
  </mergeCells>
  <conditionalFormatting sqref="E28:H34">
    <cfRule type="cellIs" priority="1" dxfId="1" operator="greaterThan" stopIfTrue="1">
      <formula>0.1</formula>
    </cfRule>
  </conditionalFormatting>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indexed="40"/>
  </sheetPr>
  <dimension ref="A1:H537"/>
  <sheetViews>
    <sheetView zoomScalePageLayoutView="0" workbookViewId="0" topLeftCell="A1">
      <selection activeCell="A1" sqref="A1"/>
    </sheetView>
  </sheetViews>
  <sheetFormatPr defaultColWidth="9.140625" defaultRowHeight="15"/>
  <cols>
    <col min="1" max="1" width="8.7109375" style="160" customWidth="1"/>
    <col min="2" max="2" width="17.140625" style="160" customWidth="1"/>
    <col min="3" max="3" width="40.28125" style="6" customWidth="1"/>
    <col min="4" max="4" width="11.8515625" style="8" bestFit="1" customWidth="1"/>
    <col min="5" max="5" width="15.421875" style="9" customWidth="1"/>
    <col min="6" max="6" width="15.8515625" style="9" customWidth="1"/>
    <col min="7" max="7" width="18.7109375" style="9" customWidth="1"/>
    <col min="8" max="8" width="16.421875" style="9" customWidth="1"/>
    <col min="9" max="16384" width="9.140625" style="6" customWidth="1"/>
  </cols>
  <sheetData>
    <row r="1" spans="1:4" ht="48" customHeight="1">
      <c r="A1" s="177"/>
      <c r="B1" s="177"/>
      <c r="C1" s="251"/>
      <c r="D1" s="251"/>
    </row>
    <row r="2" spans="1:3" ht="15">
      <c r="A2" s="161"/>
      <c r="B2" s="161"/>
      <c r="C2" s="7" t="s">
        <v>155</v>
      </c>
    </row>
    <row r="3" spans="1:4" ht="19.5" customHeight="1">
      <c r="A3" s="161"/>
      <c r="B3" s="215"/>
      <c r="C3" s="124" t="str">
        <f>Instructions!C4</f>
        <v>Version 1.3, Last Updated: June 14, 2013 AK &amp; ZI</v>
      </c>
      <c r="D3" s="216"/>
    </row>
    <row r="4" ht="15.75" thickBot="1">
      <c r="C4" s="7"/>
    </row>
    <row r="5" spans="1:7" ht="30.75" customHeight="1" thickBot="1">
      <c r="A5" s="163"/>
      <c r="B5" s="163"/>
      <c r="C5" s="280" t="s">
        <v>314</v>
      </c>
      <c r="D5" s="281"/>
      <c r="E5" s="281"/>
      <c r="F5" s="281"/>
      <c r="G5" s="282"/>
    </row>
    <row r="6" spans="1:8" ht="16.5" thickBot="1">
      <c r="A6" s="162"/>
      <c r="B6" s="162"/>
      <c r="D6" s="6"/>
      <c r="G6" s="6"/>
      <c r="H6" s="6"/>
    </row>
    <row r="7" spans="1:8" ht="38.25" thickBot="1">
      <c r="A7" s="162"/>
      <c r="B7" s="162"/>
      <c r="C7" s="283" t="s">
        <v>288</v>
      </c>
      <c r="D7" s="285" t="s">
        <v>114</v>
      </c>
      <c r="E7" s="287" t="s">
        <v>296</v>
      </c>
      <c r="F7" s="287"/>
      <c r="G7" s="287"/>
      <c r="H7" s="288"/>
    </row>
    <row r="8" spans="1:8" ht="21.75" customHeight="1" thickBot="1">
      <c r="A8" s="163"/>
      <c r="B8" s="163"/>
      <c r="C8" s="284"/>
      <c r="D8" s="286"/>
      <c r="E8" s="233" t="s">
        <v>298</v>
      </c>
      <c r="F8" s="234" t="s">
        <v>294</v>
      </c>
      <c r="G8" s="234" t="s">
        <v>295</v>
      </c>
      <c r="H8" s="235" t="s">
        <v>318</v>
      </c>
    </row>
    <row r="9" spans="1:8" ht="15.75">
      <c r="A9" s="163"/>
      <c r="B9" s="163"/>
      <c r="C9" s="200" t="s">
        <v>35</v>
      </c>
      <c r="D9" s="209" t="s">
        <v>36</v>
      </c>
      <c r="E9" s="204">
        <f>H9</f>
        <v>0</v>
      </c>
      <c r="F9" s="72">
        <v>0</v>
      </c>
      <c r="G9" s="72">
        <v>0</v>
      </c>
      <c r="H9" s="110">
        <f>SUMIF(Calculations!$G$29:$G$775,'All Substances'!D9,Calculations!$I$29:$I$775)</f>
        <v>0</v>
      </c>
    </row>
    <row r="10" spans="1:8" ht="15.75">
      <c r="A10" s="163"/>
      <c r="B10" s="163"/>
      <c r="C10" s="201" t="s">
        <v>312</v>
      </c>
      <c r="D10" s="209" t="s">
        <v>25</v>
      </c>
      <c r="E10" s="204">
        <f>SUMIF(Calculations!$G$29:$G$642,'All Substances'!D10,Calculations!$I$29:$I$642)</f>
        <v>0</v>
      </c>
      <c r="F10" s="72">
        <f>SUMIF(Calculations!$G$683:$G$775,'All Substances'!D10,Calculations!$I$683:$I$775)</f>
        <v>0</v>
      </c>
      <c r="G10" s="72">
        <v>0</v>
      </c>
      <c r="H10" s="110">
        <f>SUMIF(Calculations!$G$29:$G$775,'All Substances'!D10,Calculations!$I$29:$I$775)</f>
        <v>0</v>
      </c>
    </row>
    <row r="11" spans="1:8" ht="18.75">
      <c r="A11" s="163"/>
      <c r="B11" s="163"/>
      <c r="C11" s="200" t="s">
        <v>129</v>
      </c>
      <c r="D11" s="209" t="s">
        <v>50</v>
      </c>
      <c r="E11" s="204">
        <f>H11</f>
        <v>0</v>
      </c>
      <c r="F11" s="72">
        <v>0</v>
      </c>
      <c r="G11" s="72">
        <v>0</v>
      </c>
      <c r="H11" s="110">
        <f>SUMIF(Calculations!$G$29:$G$775,'All Substances'!D11,Calculations!$I$29:$I$775)</f>
        <v>0</v>
      </c>
    </row>
    <row r="12" spans="1:8" ht="15.75">
      <c r="A12" s="163"/>
      <c r="B12" s="163"/>
      <c r="C12" s="200" t="s">
        <v>39</v>
      </c>
      <c r="D12" s="209" t="s">
        <v>40</v>
      </c>
      <c r="E12" s="204">
        <f>H12</f>
        <v>0</v>
      </c>
      <c r="F12" s="72">
        <v>0</v>
      </c>
      <c r="G12" s="72">
        <v>0</v>
      </c>
      <c r="H12" s="110">
        <f>SUMIF(Calculations!$G$29:$G$775,'All Substances'!D12,Calculations!$I$29:$I$775)</f>
        <v>0</v>
      </c>
    </row>
    <row r="13" spans="3:8" ht="15.75">
      <c r="C13" s="200" t="s">
        <v>31</v>
      </c>
      <c r="D13" s="209" t="s">
        <v>32</v>
      </c>
      <c r="E13" s="204">
        <f>SUMIF(Calculations!$G$29:$G$642,'All Substances'!D13,Calculations!$I$29:$I$642)</f>
        <v>0</v>
      </c>
      <c r="F13" s="72">
        <f>SUMIF(Calculations!$G$683:$G$775,'All Substances'!D13,Calculations!$I$683:$I$775)</f>
        <v>0</v>
      </c>
      <c r="G13" s="72">
        <v>0</v>
      </c>
      <c r="H13" s="110">
        <f>SUMIF(Calculations!$G$29:$G$775,'All Substances'!D13,Calculations!$I$29:$I$775)</f>
        <v>0</v>
      </c>
    </row>
    <row r="14" spans="3:8" ht="15">
      <c r="C14" s="201" t="s">
        <v>313</v>
      </c>
      <c r="D14" s="209" t="s">
        <v>9</v>
      </c>
      <c r="E14" s="204">
        <f>H14</f>
        <v>0</v>
      </c>
      <c r="F14" s="72">
        <v>0</v>
      </c>
      <c r="G14" s="72">
        <v>0</v>
      </c>
      <c r="H14" s="110">
        <f>SUMIF(Calculations!$F$29:$F$775,"PM2.5*",Calculations!$I$29:$I$775)</f>
        <v>0</v>
      </c>
    </row>
    <row r="15" spans="3:8" ht="18.75" thickBot="1">
      <c r="C15" s="202" t="s">
        <v>322</v>
      </c>
      <c r="D15" s="210" t="s">
        <v>9</v>
      </c>
      <c r="E15" s="205">
        <f>SUMIF(Calculations!$F$29:$F$642,"VOC*",Calculations!$I$29:$I$642)</f>
        <v>0</v>
      </c>
      <c r="F15" s="73">
        <f>Calculations!D20+Calculations!D22+Calculations!D24+SUMIF(Calculations!$F$683:$F$775,"VOC*",Calculations!$I$683:$I$775)</f>
        <v>0</v>
      </c>
      <c r="G15" s="73">
        <v>0</v>
      </c>
      <c r="H15" s="111">
        <f>SUM(E15:F15)</f>
        <v>0</v>
      </c>
    </row>
    <row r="16" spans="3:8" ht="15">
      <c r="C16" s="203" t="s">
        <v>115</v>
      </c>
      <c r="D16" s="211"/>
      <c r="E16" s="206"/>
      <c r="F16" s="22"/>
      <c r="G16" s="22"/>
      <c r="H16" s="23"/>
    </row>
    <row r="17" spans="3:8" ht="15">
      <c r="C17" s="51" t="s">
        <v>71</v>
      </c>
      <c r="D17" s="212" t="s">
        <v>72</v>
      </c>
      <c r="E17" s="207">
        <f>H17</f>
        <v>0</v>
      </c>
      <c r="F17" s="13">
        <v>0</v>
      </c>
      <c r="G17" s="13">
        <v>0</v>
      </c>
      <c r="H17" s="112">
        <f>SUMIF(Calculations!$G$29:$G$775,'All Substances'!D17,Calculations!$I$29:$I$775)</f>
        <v>0</v>
      </c>
    </row>
    <row r="18" spans="3:8" ht="15">
      <c r="C18" s="51" t="s">
        <v>83</v>
      </c>
      <c r="D18" s="212" t="s">
        <v>84</v>
      </c>
      <c r="E18" s="207">
        <f aca="true" t="shared" si="0" ref="E18:E42">H18</f>
        <v>0</v>
      </c>
      <c r="F18" s="13">
        <v>0</v>
      </c>
      <c r="G18" s="13">
        <v>0</v>
      </c>
      <c r="H18" s="112">
        <f>SUMIF(Calculations!$G$29:$G$775,'All Substances'!D18,Calculations!$I$29:$I$775)</f>
        <v>0</v>
      </c>
    </row>
    <row r="19" spans="3:8" ht="15">
      <c r="C19" s="51" t="s">
        <v>57</v>
      </c>
      <c r="D19" s="212" t="s">
        <v>58</v>
      </c>
      <c r="E19" s="207">
        <f t="shared" si="0"/>
        <v>0</v>
      </c>
      <c r="F19" s="13">
        <v>0</v>
      </c>
      <c r="G19" s="13">
        <v>0</v>
      </c>
      <c r="H19" s="112">
        <f>SUMIF(Calculations!$G$29:$G$775,'All Substances'!D19,Calculations!$I$29:$I$775)</f>
        <v>0</v>
      </c>
    </row>
    <row r="20" spans="3:8" ht="15">
      <c r="C20" s="51" t="s">
        <v>69</v>
      </c>
      <c r="D20" s="212" t="s">
        <v>70</v>
      </c>
      <c r="E20" s="207">
        <f t="shared" si="0"/>
        <v>0</v>
      </c>
      <c r="F20" s="13">
        <v>0</v>
      </c>
      <c r="G20" s="13">
        <v>0</v>
      </c>
      <c r="H20" s="112">
        <f>SUMIF(Calculations!$G$29:$G$775,'All Substances'!D20,Calculations!$I$29:$I$775)</f>
        <v>0</v>
      </c>
    </row>
    <row r="21" spans="3:8" ht="15">
      <c r="C21" s="51" t="s">
        <v>65</v>
      </c>
      <c r="D21" s="212" t="s">
        <v>66</v>
      </c>
      <c r="E21" s="207">
        <f t="shared" si="0"/>
        <v>0</v>
      </c>
      <c r="F21" s="13">
        <v>0</v>
      </c>
      <c r="G21" s="13">
        <v>0</v>
      </c>
      <c r="H21" s="112">
        <f>SUMIF(Calculations!$G$29:$G$775,'All Substances'!D21,Calculations!$I$29:$I$775)</f>
        <v>0</v>
      </c>
    </row>
    <row r="22" spans="3:8" ht="15">
      <c r="C22" s="51" t="s">
        <v>67</v>
      </c>
      <c r="D22" s="212" t="s">
        <v>68</v>
      </c>
      <c r="E22" s="207">
        <f t="shared" si="0"/>
        <v>0</v>
      </c>
      <c r="F22" s="13">
        <v>0</v>
      </c>
      <c r="G22" s="13">
        <v>0</v>
      </c>
      <c r="H22" s="112">
        <f>SUMIF(Calculations!$G$29:$G$775,'All Substances'!D22,Calculations!$I$29:$I$775)</f>
        <v>0</v>
      </c>
    </row>
    <row r="23" spans="3:8" ht="15">
      <c r="C23" s="51" t="s">
        <v>73</v>
      </c>
      <c r="D23" s="212" t="s">
        <v>74</v>
      </c>
      <c r="E23" s="207">
        <f t="shared" si="0"/>
        <v>0</v>
      </c>
      <c r="F23" s="13">
        <v>0</v>
      </c>
      <c r="G23" s="13">
        <v>0</v>
      </c>
      <c r="H23" s="112">
        <f>SUMIF(Calculations!$G$29:$G$775,'All Substances'!D23,Calculations!$I$29:$I$775)</f>
        <v>0</v>
      </c>
    </row>
    <row r="24" spans="3:8" ht="15">
      <c r="C24" s="51" t="s">
        <v>21</v>
      </c>
      <c r="D24" s="212" t="s">
        <v>22</v>
      </c>
      <c r="E24" s="207">
        <f t="shared" si="0"/>
        <v>0</v>
      </c>
      <c r="F24" s="13">
        <v>0</v>
      </c>
      <c r="G24" s="13">
        <v>0</v>
      </c>
      <c r="H24" s="112">
        <f>SUMIF(Calculations!$G$29:$G$775,'All Substances'!D24,Calculations!$I$29:$I$775)</f>
        <v>0</v>
      </c>
    </row>
    <row r="25" spans="3:8" ht="15">
      <c r="C25" s="51" t="s">
        <v>41</v>
      </c>
      <c r="D25" s="212" t="s">
        <v>42</v>
      </c>
      <c r="E25" s="207">
        <f t="shared" si="0"/>
        <v>0</v>
      </c>
      <c r="F25" s="13">
        <v>0</v>
      </c>
      <c r="G25" s="13">
        <v>0</v>
      </c>
      <c r="H25" s="112">
        <f>SUMIF(Calculations!$G$29:$G$775,'All Substances'!D25,Calculations!$I$29:$I$775)</f>
        <v>0</v>
      </c>
    </row>
    <row r="26" spans="3:8" ht="15">
      <c r="C26" s="51" t="s">
        <v>59</v>
      </c>
      <c r="D26" s="212" t="s">
        <v>60</v>
      </c>
      <c r="E26" s="207">
        <f t="shared" si="0"/>
        <v>0</v>
      </c>
      <c r="F26" s="13">
        <v>0</v>
      </c>
      <c r="G26" s="13">
        <v>0</v>
      </c>
      <c r="H26" s="112">
        <f>SUMIF(Calculations!$G$29:$G$775,'All Substances'!D26,Calculations!$I$29:$I$775)</f>
        <v>0</v>
      </c>
    </row>
    <row r="27" spans="3:8" ht="15">
      <c r="C27" s="51" t="s">
        <v>29</v>
      </c>
      <c r="D27" s="212" t="s">
        <v>30</v>
      </c>
      <c r="E27" s="207">
        <f t="shared" si="0"/>
        <v>0</v>
      </c>
      <c r="F27" s="13">
        <v>0</v>
      </c>
      <c r="G27" s="13">
        <v>0</v>
      </c>
      <c r="H27" s="112">
        <f>SUMIF(Calculations!$G$29:$G$775,'All Substances'!D27,Calculations!$I$29:$I$775)</f>
        <v>0</v>
      </c>
    </row>
    <row r="28" spans="3:8" ht="15">
      <c r="C28" s="51" t="s">
        <v>51</v>
      </c>
      <c r="D28" s="212" t="s">
        <v>52</v>
      </c>
      <c r="E28" s="207">
        <f t="shared" si="0"/>
        <v>0</v>
      </c>
      <c r="F28" s="13">
        <v>0</v>
      </c>
      <c r="G28" s="13">
        <v>0</v>
      </c>
      <c r="H28" s="112">
        <f>SUMIF(Calculations!$G$29:$G$775,'All Substances'!D28,Calculations!$I$29:$I$775)</f>
        <v>0</v>
      </c>
    </row>
    <row r="29" spans="3:8" ht="15">
      <c r="C29" s="51" t="s">
        <v>45</v>
      </c>
      <c r="D29" s="212" t="s">
        <v>46</v>
      </c>
      <c r="E29" s="207">
        <f t="shared" si="0"/>
        <v>0</v>
      </c>
      <c r="F29" s="13">
        <v>0</v>
      </c>
      <c r="G29" s="13">
        <v>0</v>
      </c>
      <c r="H29" s="112">
        <f>SUMIF(Calculations!$G$29:$G$775,'All Substances'!D29,Calculations!$I$29:$I$775)</f>
        <v>0</v>
      </c>
    </row>
    <row r="30" spans="3:8" ht="15">
      <c r="C30" s="51" t="s">
        <v>75</v>
      </c>
      <c r="D30" s="212" t="s">
        <v>76</v>
      </c>
      <c r="E30" s="207">
        <f t="shared" si="0"/>
        <v>0</v>
      </c>
      <c r="F30" s="13">
        <v>0</v>
      </c>
      <c r="G30" s="13">
        <v>0</v>
      </c>
      <c r="H30" s="112">
        <f>SUMIF(Calculations!$G$29:$G$775,'All Substances'!D30,Calculations!$I$29:$I$775)</f>
        <v>0</v>
      </c>
    </row>
    <row r="31" spans="3:8" ht="15">
      <c r="C31" s="51" t="s">
        <v>19</v>
      </c>
      <c r="D31" s="212" t="s">
        <v>20</v>
      </c>
      <c r="E31" s="207">
        <f t="shared" si="0"/>
        <v>0</v>
      </c>
      <c r="F31" s="13">
        <v>0</v>
      </c>
      <c r="G31" s="13">
        <v>0</v>
      </c>
      <c r="H31" s="112">
        <f>SUMIF(Calculations!$G$29:$G$775,'All Substances'!D31,Calculations!$I$29:$I$775)</f>
        <v>0</v>
      </c>
    </row>
    <row r="32" spans="3:8" ht="15">
      <c r="C32" s="51" t="s">
        <v>53</v>
      </c>
      <c r="D32" s="212" t="s">
        <v>81</v>
      </c>
      <c r="E32" s="207">
        <f t="shared" si="0"/>
        <v>0</v>
      </c>
      <c r="F32" s="13">
        <v>0</v>
      </c>
      <c r="G32" s="13">
        <v>0</v>
      </c>
      <c r="H32" s="112">
        <f>SUMIF(Calculations!$G$29:$G$775,'All Substances'!D32,Calculations!$I$29:$I$775)</f>
        <v>0</v>
      </c>
    </row>
    <row r="33" spans="3:8" ht="15">
      <c r="C33" s="51" t="s">
        <v>33</v>
      </c>
      <c r="D33" s="212" t="s">
        <v>34</v>
      </c>
      <c r="E33" s="207">
        <f t="shared" si="0"/>
        <v>0</v>
      </c>
      <c r="F33" s="13">
        <v>0</v>
      </c>
      <c r="G33" s="13">
        <v>0</v>
      </c>
      <c r="H33" s="112">
        <f>SUMIF(Calculations!$G$29:$G$775,'All Substances'!D33,Calculations!$I$29:$I$775)</f>
        <v>0</v>
      </c>
    </row>
    <row r="34" spans="3:8" ht="15">
      <c r="C34" s="51" t="s">
        <v>23</v>
      </c>
      <c r="D34" s="212" t="s">
        <v>24</v>
      </c>
      <c r="E34" s="207">
        <f t="shared" si="0"/>
        <v>0</v>
      </c>
      <c r="F34" s="13">
        <v>0</v>
      </c>
      <c r="G34" s="13">
        <v>0</v>
      </c>
      <c r="H34" s="112">
        <f>SUMIF(Calculations!$G$29:$G$775,'All Substances'!D34,Calculations!$I$29:$I$775)</f>
        <v>0</v>
      </c>
    </row>
    <row r="35" spans="3:8" ht="15">
      <c r="C35" s="51" t="s">
        <v>55</v>
      </c>
      <c r="D35" s="212" t="s">
        <v>56</v>
      </c>
      <c r="E35" s="207">
        <f t="shared" si="0"/>
        <v>0</v>
      </c>
      <c r="F35" s="13">
        <v>0</v>
      </c>
      <c r="G35" s="13">
        <v>0</v>
      </c>
      <c r="H35" s="112">
        <f>SUMIF(Calculations!$G$29:$G$775,'All Substances'!D35,Calculations!$I$29:$I$775)</f>
        <v>0</v>
      </c>
    </row>
    <row r="36" spans="3:8" ht="15">
      <c r="C36" s="51" t="s">
        <v>43</v>
      </c>
      <c r="D36" s="212" t="s">
        <v>44</v>
      </c>
      <c r="E36" s="207">
        <f t="shared" si="0"/>
        <v>0</v>
      </c>
      <c r="F36" s="13">
        <v>0</v>
      </c>
      <c r="G36" s="13">
        <v>0</v>
      </c>
      <c r="H36" s="112">
        <f>SUMIF(Calculations!$G$29:$G$775,'All Substances'!D36,Calculations!$I$29:$I$775)</f>
        <v>0</v>
      </c>
    </row>
    <row r="37" spans="3:8" ht="15">
      <c r="C37" s="51" t="s">
        <v>37</v>
      </c>
      <c r="D37" s="212" t="s">
        <v>38</v>
      </c>
      <c r="E37" s="207">
        <f t="shared" si="0"/>
        <v>0</v>
      </c>
      <c r="F37" s="13">
        <v>0</v>
      </c>
      <c r="G37" s="13">
        <v>0</v>
      </c>
      <c r="H37" s="112">
        <f>SUMIF(Calculations!$G$29:$G$775,'All Substances'!D37,Calculations!$I$29:$I$775)</f>
        <v>0</v>
      </c>
    </row>
    <row r="38" spans="3:8" ht="15">
      <c r="C38" s="51" t="s">
        <v>47</v>
      </c>
      <c r="D38" s="212" t="s">
        <v>48</v>
      </c>
      <c r="E38" s="207">
        <f t="shared" si="0"/>
        <v>0</v>
      </c>
      <c r="F38" s="13">
        <v>0</v>
      </c>
      <c r="G38" s="13">
        <v>0</v>
      </c>
      <c r="H38" s="112">
        <f>SUMIF(Calculations!$G$29:$G$775,'All Substances'!D38,Calculations!$I$29:$I$775)</f>
        <v>0</v>
      </c>
    </row>
    <row r="39" spans="3:8" ht="15">
      <c r="C39" s="51" t="s">
        <v>63</v>
      </c>
      <c r="D39" s="212" t="s">
        <v>64</v>
      </c>
      <c r="E39" s="207">
        <f t="shared" si="0"/>
        <v>0</v>
      </c>
      <c r="F39" s="13">
        <v>0</v>
      </c>
      <c r="G39" s="13">
        <v>0</v>
      </c>
      <c r="H39" s="112">
        <f>SUMIF(Calculations!$G$29:$G$775,'All Substances'!D39,Calculations!$I$29:$I$775)</f>
        <v>0</v>
      </c>
    </row>
    <row r="40" spans="3:8" ht="15">
      <c r="C40" s="51" t="s">
        <v>61</v>
      </c>
      <c r="D40" s="212" t="s">
        <v>62</v>
      </c>
      <c r="E40" s="207">
        <f t="shared" si="0"/>
        <v>0</v>
      </c>
      <c r="F40" s="13">
        <v>0</v>
      </c>
      <c r="G40" s="13">
        <v>0</v>
      </c>
      <c r="H40" s="112">
        <f>SUMIF(Calculations!$G$29:$G$775,'All Substances'!D40,Calculations!$I$29:$I$775)</f>
        <v>0</v>
      </c>
    </row>
    <row r="41" spans="3:8" ht="15">
      <c r="C41" s="51" t="s">
        <v>112</v>
      </c>
      <c r="D41" s="212" t="s">
        <v>9</v>
      </c>
      <c r="E41" s="207">
        <f t="shared" si="0"/>
        <v>0</v>
      </c>
      <c r="F41" s="13">
        <v>0</v>
      </c>
      <c r="G41" s="13">
        <v>0</v>
      </c>
      <c r="H41" s="112">
        <f>SUMIF(Calculations!$F$29:$F$775,"PM",Calculations!$I$29:$I$775)</f>
        <v>0</v>
      </c>
    </row>
    <row r="42" spans="3:8" ht="15">
      <c r="C42" s="51" t="s">
        <v>10</v>
      </c>
      <c r="D42" s="212" t="s">
        <v>9</v>
      </c>
      <c r="E42" s="207">
        <f t="shared" si="0"/>
        <v>0</v>
      </c>
      <c r="F42" s="13">
        <v>0</v>
      </c>
      <c r="G42" s="13">
        <v>0</v>
      </c>
      <c r="H42" s="112">
        <f>SUMIF(Calculations!$F$29:$F$775,"PM10*",Calculations!$I$29:$I$775)</f>
        <v>0</v>
      </c>
    </row>
    <row r="43" spans="3:8" ht="15.75" thickBot="1">
      <c r="C43" s="99" t="s">
        <v>113</v>
      </c>
      <c r="D43" s="213" t="s">
        <v>9</v>
      </c>
      <c r="E43" s="208">
        <f>H43</f>
        <v>0</v>
      </c>
      <c r="F43" s="17">
        <v>0</v>
      </c>
      <c r="G43" s="17">
        <v>0</v>
      </c>
      <c r="H43" s="113">
        <f>SUMIF(Calculations!$F$29:$F$775,"THC*",Calculations!$I$29:$I$775)</f>
        <v>0</v>
      </c>
    </row>
    <row r="44" spans="3:8" ht="15">
      <c r="C44" s="24" t="s">
        <v>146</v>
      </c>
      <c r="D44" s="25"/>
      <c r="E44" s="26"/>
      <c r="F44" s="26"/>
      <c r="G44" s="27"/>
      <c r="H44" s="27"/>
    </row>
    <row r="45" spans="3:8" ht="34.5" customHeight="1">
      <c r="C45" s="279" t="s">
        <v>128</v>
      </c>
      <c r="D45" s="279"/>
      <c r="E45" s="279"/>
      <c r="F45" s="279"/>
      <c r="G45" s="279"/>
      <c r="H45" s="279"/>
    </row>
    <row r="46" spans="3:8" ht="31.5" customHeight="1">
      <c r="C46" s="278" t="s">
        <v>167</v>
      </c>
      <c r="D46" s="278"/>
      <c r="E46" s="278"/>
      <c r="F46" s="278"/>
      <c r="G46" s="278"/>
      <c r="H46" s="278"/>
    </row>
    <row r="47" spans="3:8" ht="33" customHeight="1">
      <c r="C47" s="279" t="s">
        <v>164</v>
      </c>
      <c r="D47" s="279"/>
      <c r="E47" s="279"/>
      <c r="F47" s="279"/>
      <c r="G47" s="279"/>
      <c r="H47" s="279"/>
    </row>
    <row r="48" ht="15">
      <c r="D48" s="25"/>
    </row>
    <row r="49" ht="15.75">
      <c r="D49" s="25"/>
    </row>
    <row r="50" ht="15.75">
      <c r="D50" s="25"/>
    </row>
    <row r="51" ht="15.75">
      <c r="D51" s="25"/>
    </row>
    <row r="52" ht="15.75">
      <c r="D52" s="25"/>
    </row>
    <row r="53" ht="15">
      <c r="D53" s="25"/>
    </row>
    <row r="54" ht="15">
      <c r="D54" s="25"/>
    </row>
    <row r="55" ht="15">
      <c r="D55" s="25"/>
    </row>
    <row r="56" ht="15">
      <c r="D56" s="25"/>
    </row>
    <row r="57" ht="15">
      <c r="D57" s="25"/>
    </row>
    <row r="58" ht="15">
      <c r="D58" s="25"/>
    </row>
    <row r="59" ht="15">
      <c r="D59" s="25"/>
    </row>
    <row r="60" ht="15">
      <c r="D60" s="25"/>
    </row>
    <row r="61" ht="15">
      <c r="D61" s="25"/>
    </row>
    <row r="62" ht="15">
      <c r="D62" s="25"/>
    </row>
    <row r="63" ht="15">
      <c r="D63" s="25"/>
    </row>
    <row r="64" ht="15">
      <c r="D64" s="25"/>
    </row>
    <row r="65" ht="15">
      <c r="D65" s="25"/>
    </row>
    <row r="66" ht="15">
      <c r="D66" s="25"/>
    </row>
    <row r="67" ht="15">
      <c r="D67" s="25"/>
    </row>
    <row r="68" ht="15">
      <c r="D68" s="25"/>
    </row>
    <row r="69" ht="15">
      <c r="D69" s="25"/>
    </row>
    <row r="70" ht="15">
      <c r="D70" s="25"/>
    </row>
    <row r="71" ht="15">
      <c r="D71" s="25"/>
    </row>
    <row r="72" ht="15">
      <c r="D72" s="25"/>
    </row>
    <row r="73" ht="15">
      <c r="D73" s="25"/>
    </row>
    <row r="74" ht="15">
      <c r="D74" s="25"/>
    </row>
    <row r="75" ht="15">
      <c r="D75" s="25"/>
    </row>
    <row r="76" ht="15">
      <c r="D76" s="25"/>
    </row>
    <row r="77" ht="15">
      <c r="D77" s="25"/>
    </row>
    <row r="78" ht="15">
      <c r="D78" s="25"/>
    </row>
    <row r="79" ht="15">
      <c r="D79" s="25"/>
    </row>
    <row r="80" ht="15">
      <c r="D80" s="25"/>
    </row>
    <row r="81" ht="15">
      <c r="D81" s="25"/>
    </row>
    <row r="82" ht="15">
      <c r="D82" s="25"/>
    </row>
    <row r="83" ht="15">
      <c r="D83" s="25"/>
    </row>
    <row r="84" ht="15">
      <c r="D84" s="25"/>
    </row>
    <row r="85" ht="15">
      <c r="D85" s="25"/>
    </row>
    <row r="86" ht="15">
      <c r="D86" s="25"/>
    </row>
    <row r="87" ht="15">
      <c r="D87" s="25"/>
    </row>
    <row r="88" ht="15">
      <c r="D88" s="25"/>
    </row>
    <row r="89" ht="15">
      <c r="D89" s="25"/>
    </row>
    <row r="90" ht="15">
      <c r="D90" s="25"/>
    </row>
    <row r="91" ht="15">
      <c r="D91" s="25"/>
    </row>
    <row r="92" ht="15">
      <c r="D92" s="25"/>
    </row>
    <row r="93" ht="15">
      <c r="D93" s="25"/>
    </row>
    <row r="94" ht="15">
      <c r="D94" s="25"/>
    </row>
    <row r="95" ht="15">
      <c r="D95" s="25"/>
    </row>
    <row r="96" ht="15">
      <c r="D96" s="25"/>
    </row>
    <row r="97" ht="15">
      <c r="D97" s="25"/>
    </row>
    <row r="98" ht="15">
      <c r="D98" s="25"/>
    </row>
    <row r="99" ht="15">
      <c r="D99" s="25"/>
    </row>
    <row r="100" ht="15">
      <c r="D100" s="25"/>
    </row>
    <row r="101" ht="15">
      <c r="D101" s="25"/>
    </row>
    <row r="102" ht="15">
      <c r="D102" s="25"/>
    </row>
    <row r="103" ht="15">
      <c r="D103" s="25"/>
    </row>
    <row r="104" ht="15">
      <c r="D104" s="25"/>
    </row>
    <row r="105" ht="15">
      <c r="D105" s="25"/>
    </row>
    <row r="106" ht="15">
      <c r="D106" s="25"/>
    </row>
    <row r="107" ht="15">
      <c r="D107" s="25"/>
    </row>
    <row r="108" ht="15">
      <c r="D108" s="25"/>
    </row>
    <row r="109" ht="15">
      <c r="D109" s="25"/>
    </row>
    <row r="110" ht="15">
      <c r="D110" s="25"/>
    </row>
    <row r="111" ht="15">
      <c r="D111" s="25"/>
    </row>
    <row r="112" ht="15">
      <c r="D112" s="25"/>
    </row>
    <row r="113" ht="15">
      <c r="D113" s="25"/>
    </row>
    <row r="114" ht="15">
      <c r="D114" s="25"/>
    </row>
    <row r="115" ht="15">
      <c r="D115" s="25"/>
    </row>
    <row r="116" ht="15">
      <c r="D116" s="25"/>
    </row>
    <row r="117" ht="15">
      <c r="D117" s="25"/>
    </row>
    <row r="118" ht="15">
      <c r="D118" s="25"/>
    </row>
    <row r="119" ht="15">
      <c r="D119" s="25"/>
    </row>
    <row r="120" ht="15">
      <c r="D120" s="25"/>
    </row>
    <row r="121" ht="15">
      <c r="D121" s="25"/>
    </row>
    <row r="122" ht="15">
      <c r="D122" s="25"/>
    </row>
    <row r="123" ht="15">
      <c r="D123" s="25"/>
    </row>
    <row r="124" ht="15">
      <c r="D124" s="25"/>
    </row>
    <row r="125" ht="15">
      <c r="D125" s="25"/>
    </row>
    <row r="126" ht="15">
      <c r="D126" s="25"/>
    </row>
    <row r="127" ht="15">
      <c r="D127" s="25"/>
    </row>
    <row r="128" ht="15">
      <c r="D128" s="25"/>
    </row>
    <row r="129" ht="15">
      <c r="D129" s="25"/>
    </row>
    <row r="130" ht="15">
      <c r="D130" s="25"/>
    </row>
    <row r="131" ht="15">
      <c r="D131" s="25"/>
    </row>
    <row r="132" ht="15">
      <c r="D132" s="25"/>
    </row>
    <row r="133" ht="15">
      <c r="D133" s="25"/>
    </row>
    <row r="134" ht="15">
      <c r="D134" s="25"/>
    </row>
    <row r="135" ht="15">
      <c r="D135" s="25"/>
    </row>
    <row r="136" ht="15">
      <c r="D136" s="25"/>
    </row>
    <row r="137" ht="15">
      <c r="D137" s="25"/>
    </row>
    <row r="138" ht="15">
      <c r="D138" s="25"/>
    </row>
    <row r="139" ht="15">
      <c r="D139" s="25"/>
    </row>
    <row r="140" ht="15">
      <c r="D140" s="25"/>
    </row>
    <row r="141" ht="15">
      <c r="D141" s="25"/>
    </row>
    <row r="142" ht="15">
      <c r="D142" s="25"/>
    </row>
    <row r="143" ht="15">
      <c r="D143" s="25"/>
    </row>
    <row r="144" ht="15">
      <c r="D144" s="25"/>
    </row>
    <row r="145" ht="15">
      <c r="D145" s="25"/>
    </row>
    <row r="146" ht="15">
      <c r="D146" s="25"/>
    </row>
    <row r="147" ht="15">
      <c r="D147" s="25"/>
    </row>
    <row r="148" ht="15">
      <c r="D148" s="25"/>
    </row>
    <row r="149" ht="15">
      <c r="D149" s="25"/>
    </row>
    <row r="150" ht="15">
      <c r="D150" s="25"/>
    </row>
    <row r="151" ht="15">
      <c r="D151" s="25"/>
    </row>
    <row r="152" ht="15">
      <c r="D152" s="25"/>
    </row>
    <row r="153" ht="15">
      <c r="D153" s="25"/>
    </row>
    <row r="154" ht="15">
      <c r="D154" s="25"/>
    </row>
    <row r="155" ht="15">
      <c r="D155" s="25"/>
    </row>
    <row r="156" ht="15">
      <c r="D156" s="25"/>
    </row>
    <row r="157" ht="15">
      <c r="D157" s="25"/>
    </row>
    <row r="158" ht="15">
      <c r="D158" s="25"/>
    </row>
    <row r="159" ht="15">
      <c r="D159" s="25"/>
    </row>
    <row r="160" ht="15">
      <c r="D160" s="25"/>
    </row>
    <row r="161" ht="15">
      <c r="D161" s="25"/>
    </row>
    <row r="162" ht="15">
      <c r="D162" s="25"/>
    </row>
    <row r="163" ht="15">
      <c r="D163" s="25"/>
    </row>
    <row r="164" ht="15">
      <c r="D164" s="25"/>
    </row>
    <row r="165" ht="15">
      <c r="D165" s="25"/>
    </row>
    <row r="166" ht="15">
      <c r="D166" s="25"/>
    </row>
    <row r="167" ht="15">
      <c r="D167" s="25"/>
    </row>
    <row r="168" ht="15">
      <c r="D168" s="25"/>
    </row>
    <row r="169" ht="15">
      <c r="D169" s="25"/>
    </row>
    <row r="170" ht="15">
      <c r="D170" s="25"/>
    </row>
    <row r="171" ht="15">
      <c r="D171" s="25"/>
    </row>
    <row r="172" ht="15">
      <c r="D172" s="25"/>
    </row>
    <row r="173" ht="15">
      <c r="D173" s="25"/>
    </row>
    <row r="174" ht="15">
      <c r="D174" s="25"/>
    </row>
    <row r="175" ht="15">
      <c r="D175" s="25"/>
    </row>
    <row r="176" ht="15">
      <c r="D176" s="25"/>
    </row>
    <row r="177" ht="15">
      <c r="D177" s="25"/>
    </row>
    <row r="178" ht="15">
      <c r="D178" s="25"/>
    </row>
    <row r="179" ht="15">
      <c r="D179" s="25"/>
    </row>
    <row r="180" ht="15">
      <c r="D180" s="25"/>
    </row>
    <row r="181" ht="15">
      <c r="D181" s="25"/>
    </row>
    <row r="182" ht="15">
      <c r="D182" s="25"/>
    </row>
    <row r="183" ht="15">
      <c r="D183" s="25"/>
    </row>
    <row r="184" ht="15">
      <c r="D184" s="25"/>
    </row>
    <row r="185" ht="15">
      <c r="D185" s="25"/>
    </row>
    <row r="186" ht="15">
      <c r="D186" s="25"/>
    </row>
    <row r="187" ht="15">
      <c r="D187" s="25"/>
    </row>
    <row r="188" ht="15">
      <c r="D188" s="25"/>
    </row>
    <row r="189" ht="15">
      <c r="D189" s="25"/>
    </row>
    <row r="190" ht="15">
      <c r="D190" s="25"/>
    </row>
    <row r="191" ht="15">
      <c r="D191" s="25"/>
    </row>
    <row r="192" ht="15">
      <c r="D192" s="25"/>
    </row>
    <row r="193" ht="15">
      <c r="D193" s="25"/>
    </row>
    <row r="194" ht="15">
      <c r="D194" s="25"/>
    </row>
    <row r="195" ht="15">
      <c r="D195" s="25"/>
    </row>
    <row r="196" ht="15">
      <c r="D196" s="25"/>
    </row>
    <row r="197" ht="15">
      <c r="D197" s="25"/>
    </row>
    <row r="198" ht="15">
      <c r="D198" s="25"/>
    </row>
    <row r="199" ht="15">
      <c r="D199" s="25"/>
    </row>
    <row r="200" ht="15">
      <c r="D200" s="25"/>
    </row>
    <row r="201" ht="15">
      <c r="D201" s="25"/>
    </row>
    <row r="202" ht="15">
      <c r="D202" s="25"/>
    </row>
    <row r="203" ht="15">
      <c r="D203" s="25"/>
    </row>
    <row r="204" ht="15">
      <c r="D204" s="25"/>
    </row>
    <row r="205" ht="15">
      <c r="D205" s="25"/>
    </row>
    <row r="206" ht="15">
      <c r="D206" s="25"/>
    </row>
    <row r="207" ht="15">
      <c r="D207" s="25"/>
    </row>
    <row r="208" ht="15">
      <c r="D208" s="25"/>
    </row>
    <row r="209" ht="15">
      <c r="D209" s="25"/>
    </row>
    <row r="210" ht="15">
      <c r="D210" s="25"/>
    </row>
    <row r="211" ht="15">
      <c r="D211" s="25"/>
    </row>
    <row r="212" ht="15">
      <c r="D212" s="25"/>
    </row>
    <row r="213" ht="15">
      <c r="D213" s="25"/>
    </row>
    <row r="214" ht="15">
      <c r="D214" s="25"/>
    </row>
    <row r="215" ht="15">
      <c r="D215" s="25"/>
    </row>
    <row r="216" ht="15">
      <c r="D216" s="25"/>
    </row>
    <row r="217" ht="15">
      <c r="D217" s="25"/>
    </row>
    <row r="218" ht="15">
      <c r="D218" s="25"/>
    </row>
    <row r="219" ht="15">
      <c r="D219" s="25"/>
    </row>
    <row r="220" ht="15">
      <c r="D220" s="25"/>
    </row>
    <row r="221" ht="15">
      <c r="D221" s="25"/>
    </row>
    <row r="222" ht="15">
      <c r="D222" s="25"/>
    </row>
    <row r="223" ht="15">
      <c r="D223" s="25"/>
    </row>
    <row r="224" ht="15">
      <c r="D224" s="25"/>
    </row>
    <row r="225" ht="15">
      <c r="D225" s="25"/>
    </row>
    <row r="226" ht="15">
      <c r="D226" s="25"/>
    </row>
    <row r="227" ht="15">
      <c r="D227" s="25"/>
    </row>
    <row r="228" ht="15">
      <c r="D228" s="25"/>
    </row>
    <row r="229" ht="15">
      <c r="D229" s="25"/>
    </row>
    <row r="230" ht="15">
      <c r="D230" s="25"/>
    </row>
    <row r="231" ht="15">
      <c r="D231" s="25"/>
    </row>
    <row r="232" ht="15">
      <c r="D232" s="25"/>
    </row>
    <row r="233" ht="15">
      <c r="D233" s="25"/>
    </row>
    <row r="234" ht="15">
      <c r="D234" s="25"/>
    </row>
    <row r="235" ht="15">
      <c r="D235" s="25"/>
    </row>
    <row r="236" ht="15">
      <c r="D236" s="25"/>
    </row>
    <row r="237" ht="15">
      <c r="D237" s="25"/>
    </row>
    <row r="238" ht="15">
      <c r="D238" s="25"/>
    </row>
    <row r="239" ht="15">
      <c r="D239" s="25"/>
    </row>
    <row r="240" ht="15">
      <c r="D240" s="25"/>
    </row>
    <row r="241" ht="15">
      <c r="D241" s="25"/>
    </row>
    <row r="242" ht="15">
      <c r="D242" s="25"/>
    </row>
    <row r="243" ht="15">
      <c r="D243" s="25"/>
    </row>
    <row r="244" ht="15">
      <c r="D244" s="25"/>
    </row>
    <row r="245" ht="15">
      <c r="D245" s="25"/>
    </row>
    <row r="246" ht="15">
      <c r="D246" s="25"/>
    </row>
    <row r="247" ht="15">
      <c r="D247" s="25"/>
    </row>
    <row r="248" ht="15">
      <c r="D248" s="25"/>
    </row>
    <row r="249" ht="15">
      <c r="D249" s="25"/>
    </row>
    <row r="250" ht="15">
      <c r="D250" s="25"/>
    </row>
    <row r="251" ht="15">
      <c r="D251" s="25"/>
    </row>
    <row r="252" ht="15">
      <c r="D252" s="25"/>
    </row>
    <row r="253" ht="15">
      <c r="D253" s="25"/>
    </row>
    <row r="254" ht="15">
      <c r="D254" s="25"/>
    </row>
    <row r="255" ht="15">
      <c r="D255" s="25"/>
    </row>
    <row r="256" ht="15">
      <c r="D256" s="25"/>
    </row>
    <row r="257" ht="15">
      <c r="D257" s="25"/>
    </row>
    <row r="258" ht="15">
      <c r="D258" s="25"/>
    </row>
    <row r="259" ht="15">
      <c r="D259" s="25"/>
    </row>
    <row r="260" ht="15">
      <c r="D260" s="25"/>
    </row>
    <row r="261" ht="15">
      <c r="D261" s="25"/>
    </row>
    <row r="262" ht="15">
      <c r="D262" s="25"/>
    </row>
    <row r="263" ht="15">
      <c r="D263" s="25"/>
    </row>
    <row r="264" ht="15">
      <c r="D264" s="25"/>
    </row>
    <row r="265" ht="15">
      <c r="D265" s="25"/>
    </row>
    <row r="266" ht="15">
      <c r="D266" s="25"/>
    </row>
    <row r="267" ht="15">
      <c r="D267" s="25"/>
    </row>
    <row r="268" ht="15">
      <c r="D268" s="25"/>
    </row>
    <row r="269" ht="15">
      <c r="D269" s="25"/>
    </row>
    <row r="270" ht="15">
      <c r="D270" s="25"/>
    </row>
    <row r="271" ht="15">
      <c r="D271" s="25"/>
    </row>
    <row r="272" ht="15">
      <c r="D272" s="25"/>
    </row>
    <row r="273" ht="15">
      <c r="D273" s="25"/>
    </row>
    <row r="274" ht="15">
      <c r="D274" s="25"/>
    </row>
    <row r="275" ht="15">
      <c r="D275" s="25"/>
    </row>
    <row r="276" ht="15">
      <c r="D276" s="25"/>
    </row>
    <row r="277" ht="15">
      <c r="D277" s="25"/>
    </row>
    <row r="278" ht="15">
      <c r="D278" s="25"/>
    </row>
    <row r="279" ht="15">
      <c r="D279" s="25"/>
    </row>
    <row r="280" ht="15">
      <c r="D280" s="25"/>
    </row>
    <row r="281" ht="15">
      <c r="D281" s="25"/>
    </row>
    <row r="282" ht="15">
      <c r="D282" s="25"/>
    </row>
    <row r="283" ht="15">
      <c r="D283" s="25"/>
    </row>
    <row r="284" ht="15">
      <c r="D284" s="25"/>
    </row>
    <row r="285" ht="15">
      <c r="D285" s="25"/>
    </row>
    <row r="286" ht="15">
      <c r="D286" s="25"/>
    </row>
    <row r="287" ht="15">
      <c r="D287" s="25"/>
    </row>
    <row r="288" ht="15">
      <c r="D288" s="25"/>
    </row>
    <row r="289" ht="15">
      <c r="D289" s="25"/>
    </row>
    <row r="290" ht="15">
      <c r="D290" s="25"/>
    </row>
    <row r="291" ht="15">
      <c r="D291" s="25"/>
    </row>
    <row r="292" ht="15">
      <c r="D292" s="25"/>
    </row>
    <row r="293" ht="15">
      <c r="D293" s="25"/>
    </row>
    <row r="294" ht="15">
      <c r="D294" s="25"/>
    </row>
    <row r="295" ht="15">
      <c r="D295" s="25"/>
    </row>
    <row r="296" ht="15">
      <c r="D296" s="25"/>
    </row>
    <row r="297" ht="15">
      <c r="D297" s="25"/>
    </row>
    <row r="298" ht="15">
      <c r="D298" s="25"/>
    </row>
    <row r="299" ht="15">
      <c r="D299" s="25"/>
    </row>
    <row r="300" ht="15">
      <c r="D300" s="25"/>
    </row>
    <row r="301" ht="15">
      <c r="D301" s="25"/>
    </row>
    <row r="302" ht="15">
      <c r="D302" s="25"/>
    </row>
    <row r="303" ht="15">
      <c r="D303" s="25"/>
    </row>
    <row r="304" ht="15">
      <c r="D304" s="25"/>
    </row>
    <row r="305" ht="15">
      <c r="D305" s="25"/>
    </row>
    <row r="306" ht="15">
      <c r="D306" s="25"/>
    </row>
    <row r="307" ht="15">
      <c r="D307" s="25"/>
    </row>
    <row r="308" ht="15">
      <c r="D308" s="25"/>
    </row>
    <row r="309" ht="15">
      <c r="D309" s="25"/>
    </row>
    <row r="310" ht="15">
      <c r="D310" s="25"/>
    </row>
    <row r="311" ht="15">
      <c r="D311" s="25"/>
    </row>
    <row r="312" ht="15">
      <c r="D312" s="25"/>
    </row>
    <row r="313" ht="15">
      <c r="D313" s="25"/>
    </row>
    <row r="314" ht="15">
      <c r="D314" s="25"/>
    </row>
    <row r="315" ht="15">
      <c r="D315" s="25"/>
    </row>
    <row r="316" ht="15">
      <c r="D316" s="25"/>
    </row>
    <row r="317" ht="15">
      <c r="D317" s="25"/>
    </row>
    <row r="318" ht="15">
      <c r="D318" s="25"/>
    </row>
    <row r="319" ht="15">
      <c r="D319" s="25"/>
    </row>
    <row r="320" ht="15">
      <c r="D320" s="25"/>
    </row>
    <row r="321" ht="15">
      <c r="D321" s="25"/>
    </row>
    <row r="322" ht="15">
      <c r="D322" s="25"/>
    </row>
    <row r="323" ht="15">
      <c r="D323" s="25"/>
    </row>
    <row r="324" ht="15">
      <c r="D324" s="25"/>
    </row>
    <row r="325" ht="15">
      <c r="D325" s="25"/>
    </row>
    <row r="326" ht="15">
      <c r="D326" s="25"/>
    </row>
    <row r="327" ht="15">
      <c r="D327" s="25"/>
    </row>
    <row r="328" ht="15">
      <c r="D328" s="25"/>
    </row>
    <row r="329" ht="15">
      <c r="D329" s="25"/>
    </row>
    <row r="330" ht="15">
      <c r="D330" s="25"/>
    </row>
    <row r="331" ht="15">
      <c r="D331" s="25"/>
    </row>
    <row r="332" ht="15">
      <c r="D332" s="25"/>
    </row>
    <row r="333" ht="15">
      <c r="D333" s="25"/>
    </row>
    <row r="334" ht="15">
      <c r="D334" s="25"/>
    </row>
    <row r="335" ht="15">
      <c r="D335" s="25"/>
    </row>
    <row r="336" ht="15">
      <c r="D336" s="25"/>
    </row>
    <row r="337" ht="15">
      <c r="D337" s="25"/>
    </row>
    <row r="338" ht="15">
      <c r="D338" s="25"/>
    </row>
    <row r="339" ht="15">
      <c r="D339" s="25"/>
    </row>
    <row r="340" ht="15">
      <c r="D340" s="25"/>
    </row>
    <row r="341" ht="15">
      <c r="D341" s="25"/>
    </row>
    <row r="342" ht="15">
      <c r="D342" s="25"/>
    </row>
    <row r="343" ht="15">
      <c r="D343" s="25"/>
    </row>
    <row r="344" ht="15">
      <c r="D344" s="25"/>
    </row>
    <row r="345" ht="15">
      <c r="D345" s="25"/>
    </row>
    <row r="346" ht="15">
      <c r="D346" s="25"/>
    </row>
    <row r="347" ht="15">
      <c r="D347" s="25"/>
    </row>
    <row r="348" ht="15">
      <c r="D348" s="25"/>
    </row>
    <row r="349" ht="15">
      <c r="D349" s="25"/>
    </row>
    <row r="350" ht="15">
      <c r="D350" s="25"/>
    </row>
    <row r="351" ht="15">
      <c r="D351" s="25"/>
    </row>
    <row r="352" ht="15">
      <c r="D352" s="25"/>
    </row>
    <row r="353" ht="15">
      <c r="D353" s="25"/>
    </row>
    <row r="354" ht="15">
      <c r="D354" s="25"/>
    </row>
    <row r="355" ht="15">
      <c r="D355" s="25"/>
    </row>
    <row r="356" ht="15">
      <c r="D356" s="25"/>
    </row>
    <row r="357" ht="15">
      <c r="D357" s="25"/>
    </row>
    <row r="358" ht="15">
      <c r="D358" s="25"/>
    </row>
    <row r="359" ht="15">
      <c r="D359" s="25"/>
    </row>
    <row r="360" ht="15">
      <c r="D360" s="25"/>
    </row>
    <row r="361" ht="15">
      <c r="D361" s="25"/>
    </row>
    <row r="362" ht="15">
      <c r="D362" s="25"/>
    </row>
    <row r="363" ht="15">
      <c r="D363" s="25"/>
    </row>
    <row r="364" ht="15">
      <c r="D364" s="25"/>
    </row>
    <row r="365" ht="15">
      <c r="D365" s="25"/>
    </row>
    <row r="366" ht="15">
      <c r="D366" s="25"/>
    </row>
    <row r="367" ht="15">
      <c r="D367" s="25"/>
    </row>
    <row r="368" ht="15">
      <c r="D368" s="25"/>
    </row>
    <row r="369" ht="15">
      <c r="D369" s="25"/>
    </row>
    <row r="370" ht="15">
      <c r="D370" s="25"/>
    </row>
    <row r="371" ht="15">
      <c r="D371" s="25"/>
    </row>
    <row r="372" ht="15">
      <c r="D372" s="25"/>
    </row>
    <row r="373" ht="15">
      <c r="D373" s="25"/>
    </row>
    <row r="374" ht="15">
      <c r="D374" s="25"/>
    </row>
    <row r="375" ht="15">
      <c r="D375" s="25"/>
    </row>
    <row r="376" ht="15">
      <c r="D376" s="25"/>
    </row>
    <row r="377" ht="15">
      <c r="D377" s="25"/>
    </row>
    <row r="378" ht="15">
      <c r="D378" s="25"/>
    </row>
    <row r="379" ht="15">
      <c r="D379" s="25"/>
    </row>
    <row r="380" ht="15">
      <c r="D380" s="25"/>
    </row>
    <row r="381" ht="15">
      <c r="D381" s="25"/>
    </row>
    <row r="382" ht="15">
      <c r="D382" s="25"/>
    </row>
    <row r="383" ht="15">
      <c r="D383" s="25"/>
    </row>
    <row r="384" ht="15">
      <c r="D384" s="25"/>
    </row>
    <row r="385" ht="15">
      <c r="D385" s="25"/>
    </row>
    <row r="386" ht="15">
      <c r="D386" s="25"/>
    </row>
    <row r="387" ht="15">
      <c r="D387" s="25"/>
    </row>
    <row r="388" ht="15">
      <c r="D388" s="25"/>
    </row>
    <row r="389" ht="15">
      <c r="D389" s="25"/>
    </row>
    <row r="390" ht="15">
      <c r="D390" s="25"/>
    </row>
    <row r="391" ht="15">
      <c r="D391" s="25"/>
    </row>
    <row r="392" ht="15">
      <c r="D392" s="25"/>
    </row>
    <row r="393" ht="15">
      <c r="D393" s="25"/>
    </row>
    <row r="394" ht="15">
      <c r="D394" s="25"/>
    </row>
    <row r="395" ht="15">
      <c r="D395" s="25"/>
    </row>
    <row r="396" ht="15">
      <c r="D396" s="25"/>
    </row>
    <row r="397" ht="15">
      <c r="D397" s="25"/>
    </row>
    <row r="398" ht="15">
      <c r="D398" s="25"/>
    </row>
    <row r="399" ht="15">
      <c r="D399" s="25"/>
    </row>
    <row r="400" ht="15">
      <c r="D400" s="25"/>
    </row>
    <row r="401" ht="15">
      <c r="D401" s="25"/>
    </row>
    <row r="402" ht="15">
      <c r="D402" s="25"/>
    </row>
    <row r="403" ht="15">
      <c r="D403" s="25"/>
    </row>
    <row r="404" ht="15">
      <c r="D404" s="25"/>
    </row>
    <row r="405" ht="15">
      <c r="D405" s="25"/>
    </row>
    <row r="406" ht="15">
      <c r="D406" s="25"/>
    </row>
    <row r="407" ht="15">
      <c r="D407" s="25"/>
    </row>
    <row r="408" ht="15">
      <c r="D408" s="25"/>
    </row>
    <row r="409" ht="15">
      <c r="D409" s="25"/>
    </row>
    <row r="410" ht="15">
      <c r="D410" s="25"/>
    </row>
    <row r="411" ht="15">
      <c r="D411" s="25"/>
    </row>
    <row r="412" ht="15">
      <c r="D412" s="25"/>
    </row>
    <row r="413" ht="15">
      <c r="D413" s="25"/>
    </row>
    <row r="414" ht="15">
      <c r="D414" s="25"/>
    </row>
    <row r="415" ht="15">
      <c r="D415" s="25"/>
    </row>
    <row r="416" ht="15">
      <c r="D416" s="25"/>
    </row>
    <row r="417" ht="15">
      <c r="D417" s="25"/>
    </row>
    <row r="418" ht="15">
      <c r="D418" s="25"/>
    </row>
    <row r="419" ht="15">
      <c r="D419" s="25"/>
    </row>
    <row r="420" ht="15">
      <c r="D420" s="25"/>
    </row>
    <row r="421" ht="15">
      <c r="D421" s="25"/>
    </row>
    <row r="422" ht="15">
      <c r="D422" s="25"/>
    </row>
    <row r="423" ht="15">
      <c r="D423" s="25"/>
    </row>
    <row r="424" ht="15">
      <c r="D424" s="25"/>
    </row>
    <row r="425" ht="15">
      <c r="D425" s="25"/>
    </row>
    <row r="426" ht="15">
      <c r="D426" s="25"/>
    </row>
    <row r="427" ht="15">
      <c r="D427" s="25"/>
    </row>
    <row r="428" ht="15">
      <c r="D428" s="25"/>
    </row>
    <row r="429" ht="15">
      <c r="D429" s="25"/>
    </row>
    <row r="430" ht="15">
      <c r="D430" s="25"/>
    </row>
    <row r="431" ht="15">
      <c r="D431" s="25"/>
    </row>
    <row r="432" ht="15">
      <c r="D432" s="25"/>
    </row>
    <row r="433" ht="15">
      <c r="D433" s="25"/>
    </row>
    <row r="434" ht="15">
      <c r="D434" s="25"/>
    </row>
    <row r="435" ht="15">
      <c r="D435" s="25"/>
    </row>
    <row r="436" ht="15">
      <c r="D436" s="25"/>
    </row>
    <row r="437" ht="15">
      <c r="D437" s="25"/>
    </row>
    <row r="438" ht="15">
      <c r="D438" s="25"/>
    </row>
    <row r="439" ht="15">
      <c r="D439" s="25"/>
    </row>
    <row r="440" ht="15">
      <c r="D440" s="25"/>
    </row>
    <row r="441" ht="15">
      <c r="D441" s="25"/>
    </row>
    <row r="442" ht="15">
      <c r="D442" s="25"/>
    </row>
    <row r="443" ht="15">
      <c r="D443" s="25"/>
    </row>
    <row r="444" ht="15">
      <c r="D444" s="25"/>
    </row>
    <row r="445" ht="15">
      <c r="D445" s="25"/>
    </row>
    <row r="446" ht="15">
      <c r="D446" s="25"/>
    </row>
    <row r="447" ht="15">
      <c r="D447" s="25"/>
    </row>
    <row r="448" ht="15">
      <c r="D448" s="25"/>
    </row>
    <row r="449" ht="15">
      <c r="D449" s="25"/>
    </row>
    <row r="450" ht="15">
      <c r="D450" s="25"/>
    </row>
    <row r="451" ht="15">
      <c r="D451" s="25"/>
    </row>
    <row r="452" ht="15">
      <c r="D452" s="25"/>
    </row>
    <row r="453" ht="15">
      <c r="D453" s="25"/>
    </row>
    <row r="454" ht="15">
      <c r="D454" s="25"/>
    </row>
    <row r="455" ht="15">
      <c r="D455" s="25"/>
    </row>
    <row r="456" ht="15">
      <c r="D456" s="25"/>
    </row>
    <row r="457" ht="15">
      <c r="D457" s="25"/>
    </row>
    <row r="458" ht="15">
      <c r="D458" s="25"/>
    </row>
    <row r="459" ht="15">
      <c r="D459" s="25"/>
    </row>
    <row r="460" ht="15">
      <c r="D460" s="25"/>
    </row>
    <row r="461" ht="15">
      <c r="D461" s="25"/>
    </row>
    <row r="462" ht="15">
      <c r="D462" s="25"/>
    </row>
    <row r="463" ht="15">
      <c r="D463" s="25"/>
    </row>
    <row r="464" ht="15">
      <c r="D464" s="25"/>
    </row>
    <row r="465" ht="15">
      <c r="D465" s="25"/>
    </row>
    <row r="466" ht="15">
      <c r="D466" s="25"/>
    </row>
    <row r="467" ht="15">
      <c r="D467" s="25"/>
    </row>
    <row r="468" ht="15">
      <c r="D468" s="25"/>
    </row>
    <row r="469" ht="15">
      <c r="D469" s="25"/>
    </row>
    <row r="470" ht="15">
      <c r="D470" s="25"/>
    </row>
    <row r="471" ht="15">
      <c r="D471" s="25"/>
    </row>
    <row r="472" ht="15">
      <c r="D472" s="25"/>
    </row>
    <row r="473" ht="15">
      <c r="D473" s="25"/>
    </row>
    <row r="474" ht="15">
      <c r="D474" s="25"/>
    </row>
    <row r="475" ht="15">
      <c r="D475" s="25"/>
    </row>
    <row r="476" ht="15">
      <c r="D476" s="28"/>
    </row>
    <row r="477" ht="15">
      <c r="D477" s="28"/>
    </row>
    <row r="478" ht="15">
      <c r="D478" s="25"/>
    </row>
    <row r="479" ht="15">
      <c r="D479" s="25"/>
    </row>
    <row r="480" ht="15">
      <c r="D480" s="25"/>
    </row>
    <row r="481" ht="15">
      <c r="D481" s="25"/>
    </row>
    <row r="482" ht="15">
      <c r="D482" s="25"/>
    </row>
    <row r="483" ht="15">
      <c r="D483" s="25"/>
    </row>
    <row r="484" ht="15">
      <c r="D484" s="25"/>
    </row>
    <row r="485" ht="15">
      <c r="D485" s="25"/>
    </row>
    <row r="486" ht="15">
      <c r="D486" s="25"/>
    </row>
    <row r="487" ht="15">
      <c r="D487" s="25"/>
    </row>
    <row r="488" ht="15">
      <c r="D488" s="25"/>
    </row>
    <row r="489" ht="15">
      <c r="D489" s="25"/>
    </row>
    <row r="490" ht="15">
      <c r="D490" s="25"/>
    </row>
    <row r="491" ht="15">
      <c r="D491" s="25"/>
    </row>
    <row r="492" ht="15">
      <c r="D492" s="25"/>
    </row>
    <row r="493" ht="15">
      <c r="D493" s="25"/>
    </row>
    <row r="494" ht="15">
      <c r="D494" s="25"/>
    </row>
    <row r="495" ht="15">
      <c r="D495" s="25"/>
    </row>
    <row r="496" ht="15">
      <c r="D496" s="25"/>
    </row>
    <row r="497" ht="15">
      <c r="D497" s="25"/>
    </row>
    <row r="498" ht="15">
      <c r="D498" s="25"/>
    </row>
    <row r="499" ht="15">
      <c r="D499" s="25"/>
    </row>
    <row r="500" ht="15">
      <c r="D500" s="25"/>
    </row>
    <row r="501" ht="15">
      <c r="D501" s="25"/>
    </row>
    <row r="502" ht="15">
      <c r="D502" s="25"/>
    </row>
    <row r="503" ht="15">
      <c r="D503" s="25"/>
    </row>
    <row r="504" ht="15">
      <c r="D504" s="25"/>
    </row>
    <row r="505" ht="15">
      <c r="D505" s="25"/>
    </row>
    <row r="506" ht="15">
      <c r="D506" s="25"/>
    </row>
    <row r="507" ht="15">
      <c r="D507" s="25"/>
    </row>
    <row r="508" ht="15">
      <c r="D508" s="25"/>
    </row>
    <row r="509" ht="15">
      <c r="D509" s="25"/>
    </row>
    <row r="510" ht="15">
      <c r="D510" s="25"/>
    </row>
    <row r="511" ht="15">
      <c r="D511" s="25"/>
    </row>
    <row r="512" ht="15">
      <c r="D512" s="25"/>
    </row>
    <row r="513" ht="15">
      <c r="D513" s="25"/>
    </row>
    <row r="514" ht="15">
      <c r="D514" s="25"/>
    </row>
    <row r="515" ht="15">
      <c r="D515" s="25"/>
    </row>
    <row r="516" ht="15">
      <c r="D516" s="25"/>
    </row>
    <row r="517" ht="15">
      <c r="D517" s="25"/>
    </row>
    <row r="518" ht="15">
      <c r="D518" s="25"/>
    </row>
    <row r="519" ht="15">
      <c r="D519" s="25"/>
    </row>
    <row r="520" ht="15">
      <c r="D520" s="25"/>
    </row>
    <row r="521" ht="15">
      <c r="D521" s="25"/>
    </row>
    <row r="522" ht="15">
      <c r="D522" s="25"/>
    </row>
    <row r="523" ht="15">
      <c r="D523" s="25"/>
    </row>
    <row r="524" ht="15">
      <c r="D524" s="25"/>
    </row>
    <row r="525" ht="15">
      <c r="D525" s="25"/>
    </row>
    <row r="526" ht="15">
      <c r="D526" s="25"/>
    </row>
    <row r="527" ht="15">
      <c r="D527" s="25"/>
    </row>
    <row r="528" ht="15">
      <c r="D528" s="25"/>
    </row>
    <row r="529" ht="15">
      <c r="D529" s="25"/>
    </row>
    <row r="530" ht="15">
      <c r="D530" s="25"/>
    </row>
    <row r="531" ht="15">
      <c r="D531" s="25"/>
    </row>
    <row r="532" ht="15">
      <c r="D532" s="25"/>
    </row>
    <row r="533" ht="15">
      <c r="D533" s="25"/>
    </row>
    <row r="534" ht="15">
      <c r="D534" s="25"/>
    </row>
    <row r="535" ht="15">
      <c r="D535" s="25"/>
    </row>
    <row r="536" ht="15">
      <c r="D536" s="25"/>
    </row>
    <row r="537" ht="15">
      <c r="D537" s="25"/>
    </row>
  </sheetData>
  <sheetProtection sheet="1"/>
  <mergeCells count="8">
    <mergeCell ref="C46:H46"/>
    <mergeCell ref="C47:H47"/>
    <mergeCell ref="C45:H45"/>
    <mergeCell ref="C1:D1"/>
    <mergeCell ref="C5:G5"/>
    <mergeCell ref="C7:C8"/>
    <mergeCell ref="D7:D8"/>
    <mergeCell ref="E7:H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M796"/>
  <sheetViews>
    <sheetView zoomScalePageLayoutView="0" workbookViewId="0" topLeftCell="A1">
      <selection activeCell="A1" sqref="A1"/>
    </sheetView>
  </sheetViews>
  <sheetFormatPr defaultColWidth="9.140625" defaultRowHeight="15"/>
  <cols>
    <col min="1" max="1" width="10.00390625" style="160" customWidth="1"/>
    <col min="2" max="2" width="18.28125" style="160" customWidth="1"/>
    <col min="3" max="3" width="34.421875" style="6" customWidth="1"/>
    <col min="4" max="4" width="21.00390625" style="6" bestFit="1" customWidth="1"/>
    <col min="5" max="5" width="24.57421875" style="6" customWidth="1"/>
    <col min="6" max="6" width="23.28125" style="6" bestFit="1" customWidth="1"/>
    <col min="7" max="7" width="11.8515625" style="8" bestFit="1" customWidth="1"/>
    <col min="8" max="8" width="16.7109375" style="9" customWidth="1"/>
    <col min="9" max="9" width="13.7109375" style="9" customWidth="1"/>
    <col min="10" max="10" width="10.57421875" style="6" bestFit="1" customWidth="1"/>
    <col min="11" max="16384" width="9.140625" style="6" customWidth="1"/>
  </cols>
  <sheetData>
    <row r="1" spans="1:7" ht="48" customHeight="1">
      <c r="A1" s="178"/>
      <c r="B1" s="178"/>
      <c r="C1" s="251"/>
      <c r="D1" s="251"/>
      <c r="E1" s="9"/>
      <c r="F1" s="9"/>
      <c r="G1" s="9"/>
    </row>
    <row r="2" spans="1:7" ht="15">
      <c r="A2" s="161"/>
      <c r="B2" s="161"/>
      <c r="C2" s="7" t="s">
        <v>168</v>
      </c>
      <c r="D2" s="8"/>
      <c r="E2" s="9"/>
      <c r="F2" s="9"/>
      <c r="G2" s="9"/>
    </row>
    <row r="3" spans="1:7" ht="21" customHeight="1">
      <c r="A3" s="161"/>
      <c r="B3" s="215"/>
      <c r="C3" s="124" t="str">
        <f>Instructions!C4</f>
        <v>Version 1.3, Last Updated: June 14, 2013 AK &amp; ZI</v>
      </c>
      <c r="D3" s="216"/>
      <c r="E3" s="9"/>
      <c r="F3" s="9"/>
      <c r="G3" s="9"/>
    </row>
    <row r="4" spans="3:7" ht="15">
      <c r="C4" s="7"/>
      <c r="D4" s="8"/>
      <c r="E4" s="9"/>
      <c r="F4" s="9"/>
      <c r="G4" s="9"/>
    </row>
    <row r="5" spans="1:7" ht="36" customHeight="1">
      <c r="A5" s="163"/>
      <c r="B5" s="163"/>
      <c r="C5" s="300" t="s">
        <v>327</v>
      </c>
      <c r="D5" s="300"/>
      <c r="E5" s="300"/>
      <c r="F5" s="300"/>
      <c r="G5" s="9"/>
    </row>
    <row r="6" spans="1:7" ht="39" customHeight="1">
      <c r="A6" s="162"/>
      <c r="B6" s="162"/>
      <c r="C6" s="300" t="s">
        <v>326</v>
      </c>
      <c r="D6" s="300"/>
      <c r="E6" s="300"/>
      <c r="F6" s="300"/>
      <c r="G6" s="27"/>
    </row>
    <row r="7" spans="1:10" s="124" customFormat="1" ht="15.75" thickBot="1">
      <c r="A7" s="163"/>
      <c r="B7" s="163"/>
      <c r="C7" s="218"/>
      <c r="D7" s="218"/>
      <c r="E7" s="218"/>
      <c r="F7" s="127"/>
      <c r="G7" s="127"/>
      <c r="H7" s="127"/>
      <c r="I7" s="127"/>
      <c r="J7" s="127"/>
    </row>
    <row r="8" spans="1:10" ht="15">
      <c r="A8" s="163"/>
      <c r="B8" s="163"/>
      <c r="C8" s="20" t="s">
        <v>87</v>
      </c>
      <c r="D8" s="29" t="s">
        <v>93</v>
      </c>
      <c r="E8" s="29" t="s">
        <v>1</v>
      </c>
      <c r="F8" s="295" t="s">
        <v>2</v>
      </c>
      <c r="G8" s="296"/>
      <c r="H8" s="289" t="s">
        <v>105</v>
      </c>
      <c r="I8" s="290"/>
      <c r="J8" s="30" t="s">
        <v>110</v>
      </c>
    </row>
    <row r="9" spans="1:10" ht="15.75">
      <c r="A9" s="163"/>
      <c r="B9" s="163"/>
      <c r="C9" s="151" t="s">
        <v>90</v>
      </c>
      <c r="D9" s="152" t="s">
        <v>90</v>
      </c>
      <c r="E9" s="152" t="s">
        <v>90</v>
      </c>
      <c r="F9" s="293" t="s">
        <v>90</v>
      </c>
      <c r="G9" s="294"/>
      <c r="H9" s="293" t="s">
        <v>90</v>
      </c>
      <c r="I9" s="294"/>
      <c r="J9" s="153" t="s">
        <v>90</v>
      </c>
    </row>
    <row r="10" spans="1:10" ht="15.75">
      <c r="A10" s="163"/>
      <c r="B10" s="163"/>
      <c r="C10" s="151" t="s">
        <v>88</v>
      </c>
      <c r="D10" s="152" t="s">
        <v>94</v>
      </c>
      <c r="E10" s="152" t="s">
        <v>6</v>
      </c>
      <c r="F10" s="293" t="s">
        <v>98</v>
      </c>
      <c r="G10" s="294"/>
      <c r="H10" s="297" t="s">
        <v>106</v>
      </c>
      <c r="I10" s="294"/>
      <c r="J10" s="153" t="s">
        <v>98</v>
      </c>
    </row>
    <row r="11" spans="1:10" ht="15.75">
      <c r="A11" s="163"/>
      <c r="B11" s="163"/>
      <c r="C11" s="151" t="s">
        <v>89</v>
      </c>
      <c r="D11" s="152" t="s">
        <v>95</v>
      </c>
      <c r="E11" s="152" t="s">
        <v>14</v>
      </c>
      <c r="F11" s="293" t="s">
        <v>11</v>
      </c>
      <c r="G11" s="294"/>
      <c r="H11" s="293" t="s">
        <v>107</v>
      </c>
      <c r="I11" s="294"/>
      <c r="J11" s="153" t="s">
        <v>12</v>
      </c>
    </row>
    <row r="12" spans="3:10" ht="15.75">
      <c r="C12" s="151">
        <v>1</v>
      </c>
      <c r="D12" s="152" t="s">
        <v>96</v>
      </c>
      <c r="E12" s="152" t="s">
        <v>15</v>
      </c>
      <c r="F12" s="293" t="s">
        <v>99</v>
      </c>
      <c r="G12" s="294"/>
      <c r="H12" s="297" t="s">
        <v>119</v>
      </c>
      <c r="I12" s="294"/>
      <c r="J12" s="153" t="s">
        <v>85</v>
      </c>
    </row>
    <row r="13" spans="3:10" ht="15.75">
      <c r="C13" s="151"/>
      <c r="D13" s="152">
        <v>1</v>
      </c>
      <c r="E13" s="152">
        <v>1</v>
      </c>
      <c r="F13" s="293" t="s">
        <v>100</v>
      </c>
      <c r="G13" s="294"/>
      <c r="H13" s="293" t="s">
        <v>108</v>
      </c>
      <c r="I13" s="294"/>
      <c r="J13" s="153" t="s">
        <v>82</v>
      </c>
    </row>
    <row r="14" spans="3:10" ht="15.75">
      <c r="C14" s="151"/>
      <c r="D14" s="152"/>
      <c r="E14" s="152"/>
      <c r="F14" s="293" t="s">
        <v>165</v>
      </c>
      <c r="G14" s="294"/>
      <c r="H14" s="293">
        <v>1</v>
      </c>
      <c r="I14" s="294"/>
      <c r="J14" s="153">
        <v>1</v>
      </c>
    </row>
    <row r="15" spans="3:10" ht="15">
      <c r="C15" s="151"/>
      <c r="D15" s="152"/>
      <c r="E15" s="152"/>
      <c r="F15" s="293" t="s">
        <v>13</v>
      </c>
      <c r="G15" s="294"/>
      <c r="H15" s="293"/>
      <c r="I15" s="294"/>
      <c r="J15" s="153"/>
    </row>
    <row r="16" spans="3:10" ht="15">
      <c r="C16" s="151"/>
      <c r="D16" s="152"/>
      <c r="E16" s="152"/>
      <c r="F16" s="293" t="s">
        <v>190</v>
      </c>
      <c r="G16" s="294"/>
      <c r="H16" s="293"/>
      <c r="I16" s="294"/>
      <c r="J16" s="153"/>
    </row>
    <row r="17" spans="3:10" ht="15">
      <c r="C17" s="151"/>
      <c r="D17" s="152"/>
      <c r="E17" s="152"/>
      <c r="F17" s="293" t="s">
        <v>16</v>
      </c>
      <c r="G17" s="294"/>
      <c r="H17" s="293"/>
      <c r="I17" s="294"/>
      <c r="J17" s="153"/>
    </row>
    <row r="18" spans="3:10" ht="15.75" thickBot="1">
      <c r="C18" s="154"/>
      <c r="D18" s="155"/>
      <c r="E18" s="155"/>
      <c r="F18" s="298">
        <v>1</v>
      </c>
      <c r="G18" s="299"/>
      <c r="H18" s="298"/>
      <c r="I18" s="299"/>
      <c r="J18" s="156"/>
    </row>
    <row r="19" spans="3:4" ht="15">
      <c r="C19" s="33" t="s">
        <v>124</v>
      </c>
      <c r="D19" s="6" t="s">
        <v>120</v>
      </c>
    </row>
    <row r="20" spans="3:4" ht="15">
      <c r="C20" s="33" t="s">
        <v>121</v>
      </c>
      <c r="D20" s="34">
        <f>'Input-Output'!E20*0.5</f>
        <v>0</v>
      </c>
    </row>
    <row r="21" spans="3:4" ht="15">
      <c r="C21" s="33" t="s">
        <v>122</v>
      </c>
      <c r="D21" s="6" t="s">
        <v>123</v>
      </c>
    </row>
    <row r="22" spans="3:4" ht="15">
      <c r="C22" s="33" t="s">
        <v>121</v>
      </c>
      <c r="D22" s="34">
        <f>'Input-Output'!E19*0.5</f>
        <v>0</v>
      </c>
    </row>
    <row r="23" spans="3:4" ht="15">
      <c r="C23" s="33" t="s">
        <v>126</v>
      </c>
      <c r="D23" s="6" t="s">
        <v>123</v>
      </c>
    </row>
    <row r="24" spans="3:4" ht="15">
      <c r="C24" s="33" t="s">
        <v>121</v>
      </c>
      <c r="D24" s="34">
        <f>'Input-Output'!E21*0.5</f>
        <v>0</v>
      </c>
    </row>
    <row r="25" ht="15">
      <c r="C25" s="35" t="s">
        <v>125</v>
      </c>
    </row>
    <row r="26" ht="15">
      <c r="C26" s="6" t="s">
        <v>127</v>
      </c>
    </row>
    <row r="27" ht="15.75" thickBot="1"/>
    <row r="28" spans="3:10" ht="54.75" customHeight="1" thickBot="1">
      <c r="C28" s="36" t="s">
        <v>0</v>
      </c>
      <c r="D28" s="37" t="s">
        <v>1</v>
      </c>
      <c r="E28" s="37" t="s">
        <v>2</v>
      </c>
      <c r="F28" s="37" t="s">
        <v>3</v>
      </c>
      <c r="G28" s="38" t="s">
        <v>114</v>
      </c>
      <c r="H28" s="10" t="s">
        <v>130</v>
      </c>
      <c r="I28" s="81" t="s">
        <v>4</v>
      </c>
      <c r="J28" s="39" t="s">
        <v>185</v>
      </c>
    </row>
    <row r="29" spans="3:10" ht="15">
      <c r="C29" s="11" t="s">
        <v>5</v>
      </c>
      <c r="D29" s="31" t="s">
        <v>6</v>
      </c>
      <c r="E29" s="31" t="s">
        <v>7</v>
      </c>
      <c r="F29" s="31" t="s">
        <v>8</v>
      </c>
      <c r="G29" s="12" t="s">
        <v>9</v>
      </c>
      <c r="H29" s="14">
        <v>5.6</v>
      </c>
      <c r="I29" s="188">
        <f>IF($C$12=3,0,IF($D$13=2,IF($E$13=2,IF($F$18=2,'Input-Output'!$E$16*0.001102*Calculations!H29*0.4536,0),0),0))</f>
        <v>0</v>
      </c>
      <c r="J29" s="15" t="s">
        <v>186</v>
      </c>
    </row>
    <row r="30" spans="3:10" ht="15">
      <c r="C30" s="11"/>
      <c r="D30" s="31"/>
      <c r="E30" s="31"/>
      <c r="F30" s="31" t="s">
        <v>10</v>
      </c>
      <c r="G30" s="12" t="s">
        <v>9</v>
      </c>
      <c r="H30" s="14">
        <v>4</v>
      </c>
      <c r="I30" s="89">
        <f>IF($C$12=3,0,IF($D$13=2,IF($E$13=2,IF($F$18=2,'Input-Output'!$E$16*0.001102*Calculations!H30*0.4536,0),0),0))</f>
        <v>0</v>
      </c>
      <c r="J30" s="15" t="s">
        <v>187</v>
      </c>
    </row>
    <row r="31" spans="3:10" ht="18">
      <c r="C31" s="11"/>
      <c r="D31" s="31"/>
      <c r="E31" s="31"/>
      <c r="F31" s="31" t="s">
        <v>132</v>
      </c>
      <c r="G31" s="12" t="s">
        <v>9</v>
      </c>
      <c r="H31" s="14">
        <f>H30*0.79</f>
        <v>3.16</v>
      </c>
      <c r="I31" s="89">
        <f>IF($C$12=3,0,IF($D$13=2,IF($E$13=2,IF($F$18=2,'Input-Output'!$E$16*0.001102*Calculations!H31*0.4536,0),0),0))</f>
        <v>0</v>
      </c>
      <c r="J31" s="15" t="s">
        <v>187</v>
      </c>
    </row>
    <row r="32" spans="3:10" ht="15">
      <c r="C32" s="11"/>
      <c r="D32" s="31"/>
      <c r="E32" s="31"/>
      <c r="F32" s="31" t="s">
        <v>18</v>
      </c>
      <c r="G32" s="12" t="s">
        <v>25</v>
      </c>
      <c r="H32" s="14">
        <v>0.7</v>
      </c>
      <c r="I32" s="89">
        <f>IF($C$12=3,0,IF($D$13=2,IF($E$13=2,IF($F$18=2,'Input-Output'!$E$16*0.001102*Calculations!H32*0.4536,0),0),0))</f>
        <v>0</v>
      </c>
      <c r="J32" s="15" t="s">
        <v>186</v>
      </c>
    </row>
    <row r="33" spans="3:10" ht="15">
      <c r="C33" s="11"/>
      <c r="D33" s="31"/>
      <c r="E33" s="31"/>
      <c r="F33" s="31" t="s">
        <v>19</v>
      </c>
      <c r="G33" s="12" t="s">
        <v>20</v>
      </c>
      <c r="H33" s="14">
        <v>5.3</v>
      </c>
      <c r="I33" s="89">
        <f>IF($C$12=3,0,IF($D$13=2,IF($E$13=2,IF($F$18=2,'Input-Output'!$E$16*0.001102*Calculations!H33*0.4536,0),0),0))</f>
        <v>0</v>
      </c>
      <c r="J33" s="15" t="s">
        <v>189</v>
      </c>
    </row>
    <row r="34" spans="3:10" ht="15">
      <c r="C34" s="11"/>
      <c r="D34" s="31"/>
      <c r="E34" s="31"/>
      <c r="F34" s="31" t="s">
        <v>21</v>
      </c>
      <c r="G34" s="12" t="s">
        <v>22</v>
      </c>
      <c r="H34" s="14">
        <v>600</v>
      </c>
      <c r="I34" s="89">
        <f>IF($C$12=3,0,IF($D$13=2,IF($E$13=2,IF($F$18=2,'Input-Output'!$E$16*0.001102*Calculations!H34*0.4536,0),0),0))</f>
        <v>0</v>
      </c>
      <c r="J34" s="15" t="s">
        <v>186</v>
      </c>
    </row>
    <row r="35" spans="3:10" ht="15">
      <c r="C35" s="11"/>
      <c r="D35" s="31"/>
      <c r="E35" s="31"/>
      <c r="F35" s="31" t="s">
        <v>27</v>
      </c>
      <c r="G35" s="12" t="s">
        <v>9</v>
      </c>
      <c r="H35" s="14">
        <v>6.7</v>
      </c>
      <c r="I35" s="89">
        <f>IF($C$12=3,0,IF($D$13=2,IF($E$13=2,IF($F$18=2,'Input-Output'!$E$16*0.001102*Calculations!H35*0.4536,0),0),0))</f>
        <v>0</v>
      </c>
      <c r="J35" s="15" t="s">
        <v>189</v>
      </c>
    </row>
    <row r="36" spans="3:10" ht="15">
      <c r="C36" s="11"/>
      <c r="D36" s="31"/>
      <c r="E36" s="31"/>
      <c r="F36" s="31" t="s">
        <v>28</v>
      </c>
      <c r="G36" s="12" t="s">
        <v>9</v>
      </c>
      <c r="H36" s="14">
        <v>8.1</v>
      </c>
      <c r="I36" s="89">
        <f>IF($C$12=3,0,IF($D$13=2,IF($E$13=2,IF($F$18=2,'Input-Output'!$E$16*0.001102*Calculations!H36*0.4536,0),0),0))</f>
        <v>0</v>
      </c>
      <c r="J36" s="15" t="s">
        <v>186</v>
      </c>
    </row>
    <row r="37" spans="3:10" ht="15">
      <c r="C37" s="11"/>
      <c r="D37" s="31"/>
      <c r="E37" s="31"/>
      <c r="F37" s="31" t="s">
        <v>29</v>
      </c>
      <c r="G37" s="12" t="s">
        <v>30</v>
      </c>
      <c r="H37" s="14">
        <v>0.066</v>
      </c>
      <c r="I37" s="89">
        <f>IF($C$12=3,0,IF($D$13=2,IF($E$13=2,IF($F$18=2,'Input-Output'!$E$16*0.001102*Calculations!H37*0.4536,0),0),0))</f>
        <v>0</v>
      </c>
      <c r="J37" s="15" t="s">
        <v>187</v>
      </c>
    </row>
    <row r="38" spans="3:10" ht="15">
      <c r="C38" s="11"/>
      <c r="D38" s="31"/>
      <c r="E38" s="31"/>
      <c r="F38" s="31" t="s">
        <v>31</v>
      </c>
      <c r="G38" s="12" t="s">
        <v>32</v>
      </c>
      <c r="H38" s="14">
        <v>0.11</v>
      </c>
      <c r="I38" s="89">
        <f>IF($C$12=3,0,IF($D$13=2,IF($E$13=2,IF($F$18=2,'Input-Output'!$E$16*0.001102*Calculations!H38*0.4536,0),0),0))</f>
        <v>0</v>
      </c>
      <c r="J38" s="15" t="s">
        <v>187</v>
      </c>
    </row>
    <row r="39" spans="3:10" ht="15">
      <c r="C39" s="11"/>
      <c r="D39" s="31"/>
      <c r="E39" s="31"/>
      <c r="F39" s="31" t="s">
        <v>33</v>
      </c>
      <c r="G39" s="12" t="s">
        <v>34</v>
      </c>
      <c r="H39" s="14">
        <v>0.16</v>
      </c>
      <c r="I39" s="89">
        <f>IF($C$12=3,0,IF($D$13=2,IF($E$13=2,IF($F$18=2,'Input-Output'!$E$16*0.001102*Calculations!H39*0.4536,0),0),0))</f>
        <v>0</v>
      </c>
      <c r="J39" s="15" t="s">
        <v>187</v>
      </c>
    </row>
    <row r="40" spans="3:10" ht="15">
      <c r="C40" s="11"/>
      <c r="D40" s="31"/>
      <c r="E40" s="31"/>
      <c r="F40" s="31" t="s">
        <v>35</v>
      </c>
      <c r="G40" s="12" t="s">
        <v>36</v>
      </c>
      <c r="H40" s="14">
        <v>0.072</v>
      </c>
      <c r="I40" s="89">
        <f>IF($C$12=3,0,IF($D$13=2,IF($E$13=2,IF($F$18=2,'Input-Output'!$E$16*0.001102*Calculations!H40*0.4536,0),0),0))</f>
        <v>0</v>
      </c>
      <c r="J40" s="15" t="s">
        <v>187</v>
      </c>
    </row>
    <row r="41" spans="3:10" ht="15">
      <c r="C41" s="11"/>
      <c r="D41" s="31"/>
      <c r="E41" s="31"/>
      <c r="F41" s="31" t="s">
        <v>37</v>
      </c>
      <c r="G41" s="12" t="s">
        <v>38</v>
      </c>
      <c r="H41" s="14">
        <v>2.9</v>
      </c>
      <c r="I41" s="89">
        <f>IF($C$12=3,0,IF($D$13=2,IF($E$13=2,IF($F$18=2,'Input-Output'!$E$16*0.001102*Calculations!H41*0.4536,0),0),0))</f>
        <v>0</v>
      </c>
      <c r="J41" s="15" t="s">
        <v>187</v>
      </c>
    </row>
    <row r="42" spans="3:10" ht="15">
      <c r="C42" s="11"/>
      <c r="D42" s="31"/>
      <c r="E42" s="31"/>
      <c r="F42" s="31" t="s">
        <v>39</v>
      </c>
      <c r="G42" s="12" t="s">
        <v>40</v>
      </c>
      <c r="H42" s="14">
        <v>0.0067</v>
      </c>
      <c r="I42" s="89">
        <f>IF($C$12=3,0,IF($D$13=2,IF($E$13=2,IF($F$18=2,'Input-Output'!$E$16*0.001102*Calculations!H42*0.4536,0),0),0))</f>
        <v>0</v>
      </c>
      <c r="J42" s="15" t="s">
        <v>187</v>
      </c>
    </row>
    <row r="43" spans="3:10" ht="15">
      <c r="C43" s="11"/>
      <c r="D43" s="31"/>
      <c r="E43" s="31"/>
      <c r="F43" s="31" t="s">
        <v>41</v>
      </c>
      <c r="G43" s="12" t="s">
        <v>42</v>
      </c>
      <c r="H43" s="14">
        <v>1</v>
      </c>
      <c r="I43" s="89">
        <f>IF($C$12=3,0,IF($D$13=2,IF($E$13=2,IF($F$18=2,'Input-Output'!$E$16*0.001102*Calculations!H43*0.4536,0),0),0))</f>
        <v>0</v>
      </c>
      <c r="J43" s="15" t="s">
        <v>187</v>
      </c>
    </row>
    <row r="44" spans="3:10" ht="15">
      <c r="C44" s="11"/>
      <c r="D44" s="31"/>
      <c r="E44" s="31"/>
      <c r="F44" s="31" t="s">
        <v>43</v>
      </c>
      <c r="G44" s="12" t="s">
        <v>44</v>
      </c>
      <c r="H44" s="14">
        <v>0.068</v>
      </c>
      <c r="I44" s="89">
        <f>IF($C$12=3,0,IF($D$13=2,IF($E$13=2,IF($F$18=2,'Input-Output'!$E$16*0.001102*Calculations!H44*0.4536,0),0),0))</f>
        <v>0</v>
      </c>
      <c r="J44" s="15" t="s">
        <v>187</v>
      </c>
    </row>
    <row r="45" spans="3:10" ht="15">
      <c r="C45" s="11"/>
      <c r="D45" s="31"/>
      <c r="E45" s="31"/>
      <c r="F45" s="31" t="s">
        <v>45</v>
      </c>
      <c r="G45" s="12" t="s">
        <v>46</v>
      </c>
      <c r="H45" s="14">
        <v>0.0022</v>
      </c>
      <c r="I45" s="89">
        <f>IF($C$12=3,0,IF($D$13=2,IF($E$13=2,IF($F$18=2,'Input-Output'!$E$16*0.001102*Calculations!H45*0.4536,0),0),0))</f>
        <v>0</v>
      </c>
      <c r="J45" s="15" t="s">
        <v>187</v>
      </c>
    </row>
    <row r="46" spans="3:10" ht="15">
      <c r="C46" s="11"/>
      <c r="D46" s="31"/>
      <c r="E46" s="31"/>
      <c r="F46" s="31" t="s">
        <v>47</v>
      </c>
      <c r="G46" s="12" t="s">
        <v>48</v>
      </c>
      <c r="H46" s="14">
        <v>0.055</v>
      </c>
      <c r="I46" s="89">
        <f>IF($C$12=3,0,IF($D$13=2,IF($E$13=2,IF($F$18=2,'Input-Output'!$E$16*0.001102*Calculations!H46*0.4536,0),0),0))</f>
        <v>0</v>
      </c>
      <c r="J46" s="15" t="s">
        <v>187</v>
      </c>
    </row>
    <row r="47" spans="3:10" ht="15">
      <c r="C47" s="11"/>
      <c r="D47" s="31"/>
      <c r="E47" s="31"/>
      <c r="F47" s="31" t="s">
        <v>49</v>
      </c>
      <c r="G47" s="12" t="s">
        <v>50</v>
      </c>
      <c r="H47" s="14">
        <v>0.13</v>
      </c>
      <c r="I47" s="89">
        <f>IF($C$12=3,0,IF($D$13=2,IF($E$13=2,IF($F$18=2,'Input-Output'!$E$16*0.001102*Calculations!H47*0.4536,0),0),0))</f>
        <v>0</v>
      </c>
      <c r="J47" s="15" t="s">
        <v>189</v>
      </c>
    </row>
    <row r="48" spans="3:10" ht="15">
      <c r="C48" s="11"/>
      <c r="D48" s="31"/>
      <c r="E48" s="31"/>
      <c r="F48" s="31" t="s">
        <v>51</v>
      </c>
      <c r="G48" s="12" t="s">
        <v>52</v>
      </c>
      <c r="H48" s="14">
        <v>0.14</v>
      </c>
      <c r="I48" s="89">
        <f>IF($C$12=3,0,IF($D$13=2,IF($E$13=2,IF($F$18=2,'Input-Output'!$E$16*0.001102*Calculations!H48*0.4536,0),0),0))</f>
        <v>0</v>
      </c>
      <c r="J48" s="15" t="s">
        <v>187</v>
      </c>
    </row>
    <row r="49" spans="3:10" ht="15">
      <c r="C49" s="11"/>
      <c r="D49" s="31"/>
      <c r="E49" s="31"/>
      <c r="F49" s="31" t="s">
        <v>53</v>
      </c>
      <c r="G49" s="12" t="s">
        <v>54</v>
      </c>
      <c r="H49" s="14">
        <v>0.1</v>
      </c>
      <c r="I49" s="89">
        <f>IF($C$12=3,0,IF($D$13=2,IF($E$13=2,IF($F$18=2,'Input-Output'!$E$16*0.001102*Calculations!H49*0.4536,0),0),0))</f>
        <v>0</v>
      </c>
      <c r="J49" s="15" t="s">
        <v>187</v>
      </c>
    </row>
    <row r="50" spans="3:10" ht="15">
      <c r="C50" s="11"/>
      <c r="D50" s="31"/>
      <c r="E50" s="31"/>
      <c r="F50" s="31" t="s">
        <v>55</v>
      </c>
      <c r="G50" s="12" t="s">
        <v>56</v>
      </c>
      <c r="H50" s="14">
        <v>0.0089</v>
      </c>
      <c r="I50" s="89">
        <f>IF($C$12=3,0,IF($D$13=2,IF($E$13=2,IF($F$18=2,'Input-Output'!$E$16*0.001102*Calculations!H50*0.4536,0),0),0))</f>
        <v>0</v>
      </c>
      <c r="J50" s="15" t="s">
        <v>187</v>
      </c>
    </row>
    <row r="51" spans="3:10" ht="15">
      <c r="C51" s="11"/>
      <c r="D51" s="31"/>
      <c r="E51" s="31"/>
      <c r="F51" s="31" t="s">
        <v>57</v>
      </c>
      <c r="G51" s="12" t="s">
        <v>58</v>
      </c>
      <c r="H51" s="14">
        <v>0.0078</v>
      </c>
      <c r="I51" s="89">
        <f>IF($C$12=3,0,IF($D$13=2,IF($E$13=2,IF($F$18=2,'Input-Output'!$E$16*0.001102*Calculations!H51*0.4536,0),0),0))</f>
        <v>0</v>
      </c>
      <c r="J51" s="15" t="s">
        <v>187</v>
      </c>
    </row>
    <row r="52" spans="3:10" ht="15">
      <c r="C52" s="11"/>
      <c r="D52" s="31"/>
      <c r="E52" s="31"/>
      <c r="F52" s="31" t="s">
        <v>59</v>
      </c>
      <c r="G52" s="12" t="s">
        <v>60</v>
      </c>
      <c r="H52" s="14">
        <v>0.01</v>
      </c>
      <c r="I52" s="89">
        <f>IF($C$12=3,0,IF($D$13=2,IF($E$13=2,IF($F$18=2,'Input-Output'!$E$16*0.001102*Calculations!H52*0.4536,0),0),0))</f>
        <v>0</v>
      </c>
      <c r="J52" s="15" t="s">
        <v>187</v>
      </c>
    </row>
    <row r="53" spans="3:10" ht="15">
      <c r="C53" s="11"/>
      <c r="D53" s="31"/>
      <c r="E53" s="31"/>
      <c r="F53" s="31" t="s">
        <v>61</v>
      </c>
      <c r="G53" s="12" t="s">
        <v>62</v>
      </c>
      <c r="H53" s="14">
        <v>0.067</v>
      </c>
      <c r="I53" s="89">
        <f>IF($C$12=3,0,IF($D$13=2,IF($E$13=2,IF($F$18=2,'Input-Output'!$E$16*0.001102*Calculations!H53*0.4536,0),0),0))</f>
        <v>0</v>
      </c>
      <c r="J53" s="15" t="s">
        <v>187</v>
      </c>
    </row>
    <row r="54" spans="3:10" ht="15">
      <c r="C54" s="11"/>
      <c r="D54" s="31"/>
      <c r="E54" s="31"/>
      <c r="F54" s="31" t="s">
        <v>63</v>
      </c>
      <c r="G54" s="12" t="s">
        <v>64</v>
      </c>
      <c r="H54" s="14">
        <v>0.063</v>
      </c>
      <c r="I54" s="89">
        <f>IF($C$12=3,0,IF($D$13=2,IF($E$13=2,IF($F$18=2,'Input-Output'!$E$16*0.001102*Calculations!H54*0.4536,0),0),0))</f>
        <v>0</v>
      </c>
      <c r="J54" s="15" t="s">
        <v>187</v>
      </c>
    </row>
    <row r="55" spans="3:10" ht="15">
      <c r="C55" s="11"/>
      <c r="D55" s="31"/>
      <c r="E55" s="31"/>
      <c r="F55" s="31" t="s">
        <v>65</v>
      </c>
      <c r="G55" s="12" t="s">
        <v>66</v>
      </c>
      <c r="H55" s="14">
        <v>0.015</v>
      </c>
      <c r="I55" s="89">
        <f>IF($C$12=3,0,IF($D$13=2,IF($E$13=2,IF($F$18=2,'Input-Output'!$E$16*0.001102*Calculations!H55*0.4536,0),0),0))</f>
        <v>0</v>
      </c>
      <c r="J55" s="15" t="s">
        <v>187</v>
      </c>
    </row>
    <row r="56" spans="3:10" ht="15">
      <c r="C56" s="11"/>
      <c r="D56" s="31"/>
      <c r="E56" s="31"/>
      <c r="F56" s="31" t="s">
        <v>67</v>
      </c>
      <c r="G56" s="12" t="s">
        <v>68</v>
      </c>
      <c r="H56" s="14">
        <v>0.011</v>
      </c>
      <c r="I56" s="89">
        <f>IF($C$12=3,0,IF($D$13=2,IF($E$13=2,IF($F$18=2,'Input-Output'!$E$16*0.001102*Calculations!H56*0.4536,0),0),0))</f>
        <v>0</v>
      </c>
      <c r="J56" s="15" t="s">
        <v>187</v>
      </c>
    </row>
    <row r="57" spans="3:10" ht="15">
      <c r="C57" s="11"/>
      <c r="D57" s="31"/>
      <c r="E57" s="40"/>
      <c r="F57" s="40" t="s">
        <v>69</v>
      </c>
      <c r="G57" s="41" t="s">
        <v>70</v>
      </c>
      <c r="H57" s="42">
        <v>0.015</v>
      </c>
      <c r="I57" s="189">
        <f>IF($C$12=3,0,IF($D$13=2,IF($E$13=2,IF($F$18=2,'Input-Output'!$E$16*0.001102*Calculations!H57*0.4536,0),0),0))</f>
        <v>0</v>
      </c>
      <c r="J57" s="43" t="s">
        <v>187</v>
      </c>
    </row>
    <row r="58" spans="3:10" ht="18">
      <c r="C58" s="11"/>
      <c r="D58" s="31"/>
      <c r="E58" s="44" t="s">
        <v>135</v>
      </c>
      <c r="F58" s="44" t="s">
        <v>8</v>
      </c>
      <c r="G58" s="45" t="s">
        <v>9</v>
      </c>
      <c r="H58" s="46">
        <v>2.81</v>
      </c>
      <c r="I58" s="190">
        <f>IF($C$12=3,0,IF($D$13=2,IF($E$13=2,IF($F$18=3,'Input-Output'!$E$16*0.001102*Calculations!H58*0.4536,0),0),0))</f>
        <v>0</v>
      </c>
      <c r="J58" s="15" t="s">
        <v>186</v>
      </c>
    </row>
    <row r="59" spans="3:10" ht="18">
      <c r="C59" s="11"/>
      <c r="D59" s="31"/>
      <c r="E59" s="31"/>
      <c r="F59" s="31" t="s">
        <v>133</v>
      </c>
      <c r="G59" s="12" t="s">
        <v>9</v>
      </c>
      <c r="H59" s="14">
        <f>H58*0.61</f>
        <v>1.7141</v>
      </c>
      <c r="I59" s="89">
        <f>IF($C$12=3,0,IF($D$13=2,IF($E$13=2,IF($F$18=3,'Input-Output'!$E$16*0.001102*Calculations!H59*0.4536,0),0),0))</f>
        <v>0</v>
      </c>
      <c r="J59" s="15" t="s">
        <v>186</v>
      </c>
    </row>
    <row r="60" spans="3:10" ht="18">
      <c r="C60" s="11"/>
      <c r="D60" s="31"/>
      <c r="E60" s="31"/>
      <c r="F60" s="31" t="s">
        <v>132</v>
      </c>
      <c r="G60" s="12" t="s">
        <v>9</v>
      </c>
      <c r="H60" s="14">
        <f>H59*0.79</f>
        <v>1.354139</v>
      </c>
      <c r="I60" s="89">
        <f>IF($C$12=3,0,IF($D$13=2,IF($E$13=2,IF($F$18=3,'Input-Output'!$E$16*0.001102*Calculations!H60*0.4536,0),0),0))</f>
        <v>0</v>
      </c>
      <c r="J60" s="15" t="s">
        <v>186</v>
      </c>
    </row>
    <row r="61" spans="3:10" ht="15">
      <c r="C61" s="11"/>
      <c r="D61" s="31"/>
      <c r="E61" s="31"/>
      <c r="F61" s="31" t="s">
        <v>18</v>
      </c>
      <c r="G61" s="12" t="s">
        <v>25</v>
      </c>
      <c r="H61" s="14">
        <v>0.7</v>
      </c>
      <c r="I61" s="89">
        <f>IF($C$12=3,0,IF($D$13=2,IF($E$13=2,IF($F$18=3,'Input-Output'!$E$16*0.001102*Calculations!H61*0.4536,0),0),0))</f>
        <v>0</v>
      </c>
      <c r="J61" s="15" t="s">
        <v>186</v>
      </c>
    </row>
    <row r="62" spans="3:10" ht="15">
      <c r="C62" s="11"/>
      <c r="D62" s="31"/>
      <c r="E62" s="31"/>
      <c r="F62" s="31" t="s">
        <v>19</v>
      </c>
      <c r="G62" s="12" t="s">
        <v>20</v>
      </c>
      <c r="H62" s="14">
        <v>5.3</v>
      </c>
      <c r="I62" s="89">
        <f>IF($C$12=3,0,IF($D$13=2,IF($E$13=2,IF($F$18=3,'Input-Output'!$E$16*0.001102*Calculations!H62*0.4536,0),0),0))</f>
        <v>0</v>
      </c>
      <c r="J62" s="15" t="s">
        <v>189</v>
      </c>
    </row>
    <row r="63" spans="3:10" ht="15">
      <c r="C63" s="11"/>
      <c r="D63" s="31"/>
      <c r="E63" s="31"/>
      <c r="F63" s="31" t="s">
        <v>21</v>
      </c>
      <c r="G63" s="12" t="s">
        <v>22</v>
      </c>
      <c r="H63" s="14">
        <v>600</v>
      </c>
      <c r="I63" s="89">
        <f>IF($C$12=3,0,IF($D$13=2,IF($E$13=2,IF($F$18=3,'Input-Output'!$E$16*0.001102*Calculations!H63*0.4536,0),0),0))</f>
        <v>0</v>
      </c>
      <c r="J63" s="15" t="s">
        <v>186</v>
      </c>
    </row>
    <row r="64" spans="3:10" ht="15">
      <c r="C64" s="11"/>
      <c r="D64" s="31"/>
      <c r="E64" s="31"/>
      <c r="F64" s="31" t="s">
        <v>27</v>
      </c>
      <c r="G64" s="12" t="s">
        <v>9</v>
      </c>
      <c r="H64" s="14">
        <v>6.7</v>
      </c>
      <c r="I64" s="89">
        <f>IF($C$12=3,0,IF($D$13=2,IF($E$13=2,IF($F$18=3,'Input-Output'!$E$16*0.001102*Calculations!H64*0.4536,0),0),0))</f>
        <v>0</v>
      </c>
      <c r="J64" s="15" t="s">
        <v>189</v>
      </c>
    </row>
    <row r="65" spans="3:10" ht="15">
      <c r="C65" s="11"/>
      <c r="D65" s="31"/>
      <c r="E65" s="31"/>
      <c r="F65" s="31" t="s">
        <v>28</v>
      </c>
      <c r="G65" s="12" t="s">
        <v>9</v>
      </c>
      <c r="H65" s="14">
        <v>8.1</v>
      </c>
      <c r="I65" s="89">
        <f>IF($C$12=3,0,IF($D$13=2,IF($E$13=2,IF($F$18=3,'Input-Output'!$E$16*0.001102*Calculations!H65*0.4536,0),0),0))</f>
        <v>0</v>
      </c>
      <c r="J65" s="15" t="s">
        <v>186</v>
      </c>
    </row>
    <row r="66" spans="3:10" ht="15">
      <c r="C66" s="11"/>
      <c r="D66" s="31"/>
      <c r="E66" s="31"/>
      <c r="F66" s="31" t="s">
        <v>29</v>
      </c>
      <c r="G66" s="12" t="s">
        <v>30</v>
      </c>
      <c r="H66" s="14">
        <v>0.066</v>
      </c>
      <c r="I66" s="89">
        <f>IF($C$12=3,0,IF($D$13=2,IF($E$13=2,IF($F$18=3,'Input-Output'!$E$16*0.001102*Calculations!H66*0.4536,0),0),0))</f>
        <v>0</v>
      </c>
      <c r="J66" s="15" t="s">
        <v>187</v>
      </c>
    </row>
    <row r="67" spans="3:10" ht="15">
      <c r="C67" s="11"/>
      <c r="D67" s="31"/>
      <c r="E67" s="31"/>
      <c r="F67" s="31" t="s">
        <v>31</v>
      </c>
      <c r="G67" s="12" t="s">
        <v>32</v>
      </c>
      <c r="H67" s="14">
        <v>0.11</v>
      </c>
      <c r="I67" s="89">
        <f>IF($C$12=3,0,IF($D$13=2,IF($E$13=2,IF($F$18=3,'Input-Output'!$E$16*0.001102*Calculations!H67*0.4536,0),0),0))</f>
        <v>0</v>
      </c>
      <c r="J67" s="15" t="s">
        <v>187</v>
      </c>
    </row>
    <row r="68" spans="3:10" ht="15">
      <c r="C68" s="11"/>
      <c r="D68" s="31"/>
      <c r="E68" s="31"/>
      <c r="F68" s="31" t="s">
        <v>33</v>
      </c>
      <c r="G68" s="12" t="s">
        <v>34</v>
      </c>
      <c r="H68" s="14">
        <v>0.16</v>
      </c>
      <c r="I68" s="89">
        <f>IF($C$12=3,0,IF($D$13=2,IF($E$13=2,IF($F$18=3,'Input-Output'!$E$16*0.001102*Calculations!H68*0.4536,0),0),0))</f>
        <v>0</v>
      </c>
      <c r="J68" s="15" t="s">
        <v>187</v>
      </c>
    </row>
    <row r="69" spans="3:10" ht="15">
      <c r="C69" s="11"/>
      <c r="D69" s="31"/>
      <c r="E69" s="31"/>
      <c r="F69" s="31" t="s">
        <v>35</v>
      </c>
      <c r="G69" s="12" t="s">
        <v>36</v>
      </c>
      <c r="H69" s="14">
        <v>0.072</v>
      </c>
      <c r="I69" s="89">
        <f>IF($C$12=3,0,IF($D$13=2,IF($E$13=2,IF($F$18=3,'Input-Output'!$E$16*0.001102*Calculations!H69*0.4536,0),0),0))</f>
        <v>0</v>
      </c>
      <c r="J69" s="15" t="s">
        <v>187</v>
      </c>
    </row>
    <row r="70" spans="3:10" ht="15">
      <c r="C70" s="11"/>
      <c r="D70" s="31"/>
      <c r="E70" s="31"/>
      <c r="F70" s="31" t="s">
        <v>37</v>
      </c>
      <c r="G70" s="12" t="s">
        <v>38</v>
      </c>
      <c r="H70" s="14">
        <v>2.9</v>
      </c>
      <c r="I70" s="89">
        <f>IF($C$12=3,0,IF($D$13=2,IF($E$13=2,IF($F$18=3,'Input-Output'!$E$16*0.001102*Calculations!H70*0.4536,0),0),0))</f>
        <v>0</v>
      </c>
      <c r="J70" s="15" t="s">
        <v>187</v>
      </c>
    </row>
    <row r="71" spans="3:10" ht="15">
      <c r="C71" s="11"/>
      <c r="D71" s="31"/>
      <c r="E71" s="31"/>
      <c r="F71" s="31" t="s">
        <v>39</v>
      </c>
      <c r="G71" s="12" t="s">
        <v>40</v>
      </c>
      <c r="H71" s="14">
        <v>0.0067</v>
      </c>
      <c r="I71" s="89">
        <f>IF($C$12=3,0,IF($D$13=2,IF($E$13=2,IF($F$18=3,'Input-Output'!$E$16*0.001102*Calculations!H71*0.4536,0),0),0))</f>
        <v>0</v>
      </c>
      <c r="J71" s="15" t="s">
        <v>187</v>
      </c>
    </row>
    <row r="72" spans="3:10" ht="15">
      <c r="C72" s="11"/>
      <c r="D72" s="31"/>
      <c r="E72" s="31"/>
      <c r="F72" s="31" t="s">
        <v>41</v>
      </c>
      <c r="G72" s="12" t="s">
        <v>42</v>
      </c>
      <c r="H72" s="14">
        <v>1</v>
      </c>
      <c r="I72" s="89">
        <f>IF($C$12=3,0,IF($D$13=2,IF($E$13=2,IF($F$18=3,'Input-Output'!$E$16*0.001102*Calculations!H72*0.4536,0),0),0))</f>
        <v>0</v>
      </c>
      <c r="J72" s="15" t="s">
        <v>187</v>
      </c>
    </row>
    <row r="73" spans="3:10" ht="15">
      <c r="C73" s="11"/>
      <c r="D73" s="31"/>
      <c r="E73" s="31"/>
      <c r="F73" s="31" t="s">
        <v>43</v>
      </c>
      <c r="G73" s="12" t="s">
        <v>44</v>
      </c>
      <c r="H73" s="14">
        <v>0.068</v>
      </c>
      <c r="I73" s="89">
        <f>IF($C$12=3,0,IF($D$13=2,IF($E$13=2,IF($F$18=3,'Input-Output'!$E$16*0.001102*Calculations!H73*0.4536,0),0),0))</f>
        <v>0</v>
      </c>
      <c r="J73" s="15" t="s">
        <v>187</v>
      </c>
    </row>
    <row r="74" spans="3:10" ht="15">
      <c r="C74" s="11"/>
      <c r="D74" s="31"/>
      <c r="E74" s="31"/>
      <c r="F74" s="31" t="s">
        <v>45</v>
      </c>
      <c r="G74" s="12" t="s">
        <v>46</v>
      </c>
      <c r="H74" s="14">
        <v>0.0022</v>
      </c>
      <c r="I74" s="89">
        <f>IF($C$12=3,0,IF($D$13=2,IF($E$13=2,IF($F$18=3,'Input-Output'!$E$16*0.001102*Calculations!H74*0.4536,0),0),0))</f>
        <v>0</v>
      </c>
      <c r="J74" s="15" t="s">
        <v>187</v>
      </c>
    </row>
    <row r="75" spans="3:10" ht="15">
      <c r="C75" s="11"/>
      <c r="D75" s="31"/>
      <c r="E75" s="31"/>
      <c r="F75" s="31" t="s">
        <v>47</v>
      </c>
      <c r="G75" s="12" t="s">
        <v>48</v>
      </c>
      <c r="H75" s="14">
        <v>0.055</v>
      </c>
      <c r="I75" s="89">
        <f>IF($C$12=3,0,IF($D$13=2,IF($E$13=2,IF($F$18=3,'Input-Output'!$E$16*0.001102*Calculations!H75*0.4536,0),0),0))</f>
        <v>0</v>
      </c>
      <c r="J75" s="15" t="s">
        <v>187</v>
      </c>
    </row>
    <row r="76" spans="3:10" ht="15">
      <c r="C76" s="11"/>
      <c r="D76" s="31"/>
      <c r="E76" s="31"/>
      <c r="F76" s="31" t="s">
        <v>49</v>
      </c>
      <c r="G76" s="12" t="s">
        <v>50</v>
      </c>
      <c r="H76" s="14">
        <v>0.13</v>
      </c>
      <c r="I76" s="89">
        <f>IF($C$12=3,0,IF($D$13=2,IF($E$13=2,IF($F$18=3,'Input-Output'!$E$16*0.001102*Calculations!H76*0.4536,0),0),0))</f>
        <v>0</v>
      </c>
      <c r="J76" s="15" t="s">
        <v>189</v>
      </c>
    </row>
    <row r="77" spans="3:10" ht="15">
      <c r="C77" s="11"/>
      <c r="D77" s="31"/>
      <c r="E77" s="31"/>
      <c r="F77" s="31" t="s">
        <v>51</v>
      </c>
      <c r="G77" s="12" t="s">
        <v>52</v>
      </c>
      <c r="H77" s="14">
        <v>0.14</v>
      </c>
      <c r="I77" s="89">
        <f>IF($C$12=3,0,IF($D$13=2,IF($E$13=2,IF($F$18=3,'Input-Output'!$E$16*0.001102*Calculations!H77*0.4536,0),0),0))</f>
        <v>0</v>
      </c>
      <c r="J77" s="15" t="s">
        <v>187</v>
      </c>
    </row>
    <row r="78" spans="3:10" ht="15">
      <c r="C78" s="11"/>
      <c r="D78" s="31"/>
      <c r="E78" s="31"/>
      <c r="F78" s="31" t="s">
        <v>53</v>
      </c>
      <c r="G78" s="12" t="s">
        <v>54</v>
      </c>
      <c r="H78" s="14">
        <v>0.1</v>
      </c>
      <c r="I78" s="89">
        <f>IF($C$12=3,0,IF($D$13=2,IF($E$13=2,IF($F$18=3,'Input-Output'!$E$16*0.001102*Calculations!H78*0.4536,0),0),0))</f>
        <v>0</v>
      </c>
      <c r="J78" s="15" t="s">
        <v>187</v>
      </c>
    </row>
    <row r="79" spans="3:10" ht="15">
      <c r="C79" s="11"/>
      <c r="D79" s="31"/>
      <c r="E79" s="31"/>
      <c r="F79" s="31" t="s">
        <v>55</v>
      </c>
      <c r="G79" s="12" t="s">
        <v>56</v>
      </c>
      <c r="H79" s="14">
        <v>0.0089</v>
      </c>
      <c r="I79" s="89">
        <f>IF($C$12=3,0,IF($D$13=2,IF($E$13=2,IF($F$18=3,'Input-Output'!$E$16*0.001102*Calculations!H79*0.4536,0),0),0))</f>
        <v>0</v>
      </c>
      <c r="J79" s="15" t="s">
        <v>187</v>
      </c>
    </row>
    <row r="80" spans="3:10" ht="15">
      <c r="C80" s="11"/>
      <c r="D80" s="31"/>
      <c r="E80" s="31"/>
      <c r="F80" s="31" t="s">
        <v>57</v>
      </c>
      <c r="G80" s="12" t="s">
        <v>58</v>
      </c>
      <c r="H80" s="14">
        <v>0.0078</v>
      </c>
      <c r="I80" s="89">
        <f>IF($C$12=3,0,IF($D$13=2,IF($E$13=2,IF($F$18=3,'Input-Output'!$E$16*0.001102*Calculations!H80*0.4536,0),0),0))</f>
        <v>0</v>
      </c>
      <c r="J80" s="15" t="s">
        <v>187</v>
      </c>
    </row>
    <row r="81" spans="3:10" ht="15">
      <c r="C81" s="11"/>
      <c r="D81" s="31"/>
      <c r="E81" s="31"/>
      <c r="F81" s="31" t="s">
        <v>59</v>
      </c>
      <c r="G81" s="12" t="s">
        <v>60</v>
      </c>
      <c r="H81" s="14">
        <v>0.01</v>
      </c>
      <c r="I81" s="89">
        <f>IF($C$12=3,0,IF($D$13=2,IF($E$13=2,IF($F$18=3,'Input-Output'!$E$16*0.001102*Calculations!H81*0.4536,0),0),0))</f>
        <v>0</v>
      </c>
      <c r="J81" s="15" t="s">
        <v>187</v>
      </c>
    </row>
    <row r="82" spans="3:10" ht="15">
      <c r="C82" s="11"/>
      <c r="D82" s="31"/>
      <c r="E82" s="31"/>
      <c r="F82" s="31" t="s">
        <v>61</v>
      </c>
      <c r="G82" s="12" t="s">
        <v>62</v>
      </c>
      <c r="H82" s="14">
        <v>0.067</v>
      </c>
      <c r="I82" s="89">
        <f>IF($C$12=3,0,IF($D$13=2,IF($E$13=2,IF($F$18=3,'Input-Output'!$E$16*0.001102*Calculations!H82*0.4536,0),0),0))</f>
        <v>0</v>
      </c>
      <c r="J82" s="15" t="s">
        <v>187</v>
      </c>
    </row>
    <row r="83" spans="3:10" ht="15">
      <c r="C83" s="11"/>
      <c r="D83" s="31"/>
      <c r="E83" s="31"/>
      <c r="F83" s="31" t="s">
        <v>63</v>
      </c>
      <c r="G83" s="12" t="s">
        <v>64</v>
      </c>
      <c r="H83" s="14">
        <v>0.063</v>
      </c>
      <c r="I83" s="89">
        <f>IF($C$12=3,0,IF($D$13=2,IF($E$13=2,IF($F$18=3,'Input-Output'!$E$16*0.001102*Calculations!H83*0.4536,0),0),0))</f>
        <v>0</v>
      </c>
      <c r="J83" s="15" t="s">
        <v>187</v>
      </c>
    </row>
    <row r="84" spans="3:10" ht="15">
      <c r="C84" s="11"/>
      <c r="D84" s="31"/>
      <c r="E84" s="31"/>
      <c r="F84" s="31" t="s">
        <v>65</v>
      </c>
      <c r="G84" s="12" t="s">
        <v>66</v>
      </c>
      <c r="H84" s="14">
        <v>0.015</v>
      </c>
      <c r="I84" s="89">
        <f>IF($C$12=3,0,IF($D$13=2,IF($E$13=2,IF($F$18=3,'Input-Output'!$E$16*0.001102*Calculations!H84*0.4536,0),0),0))</f>
        <v>0</v>
      </c>
      <c r="J84" s="15" t="s">
        <v>187</v>
      </c>
    </row>
    <row r="85" spans="3:10" ht="15">
      <c r="C85" s="11"/>
      <c r="D85" s="31"/>
      <c r="E85" s="31"/>
      <c r="F85" s="31" t="s">
        <v>67</v>
      </c>
      <c r="G85" s="12" t="s">
        <v>68</v>
      </c>
      <c r="H85" s="14">
        <v>0.011</v>
      </c>
      <c r="I85" s="89">
        <f>IF($C$12=3,0,IF($D$13=2,IF($E$13=2,IF($F$18=3,'Input-Output'!$E$16*0.001102*Calculations!H85*0.4536,0),0),0))</f>
        <v>0</v>
      </c>
      <c r="J85" s="15" t="s">
        <v>187</v>
      </c>
    </row>
    <row r="86" spans="3:10" ht="15">
      <c r="C86" s="11"/>
      <c r="D86" s="31"/>
      <c r="E86" s="40"/>
      <c r="F86" s="40" t="s">
        <v>69</v>
      </c>
      <c r="G86" s="41" t="s">
        <v>70</v>
      </c>
      <c r="H86" s="42">
        <v>0.015</v>
      </c>
      <c r="I86" s="189">
        <f>IF($C$12=3,0,IF($D$13=2,IF($E$13=2,IF($F$18=3,'Input-Output'!$E$16*0.001102*Calculations!H86*0.4536,0),0),0))</f>
        <v>0</v>
      </c>
      <c r="J86" s="43" t="s">
        <v>187</v>
      </c>
    </row>
    <row r="87" spans="3:10" ht="18">
      <c r="C87" s="11"/>
      <c r="D87" s="31"/>
      <c r="E87" s="44" t="s">
        <v>136</v>
      </c>
      <c r="F87" s="44" t="s">
        <v>8</v>
      </c>
      <c r="G87" s="45" t="s">
        <v>9</v>
      </c>
      <c r="H87" s="46">
        <v>1.04</v>
      </c>
      <c r="I87" s="190">
        <f>IF($C$12=3,0,IF($D$13=2,IF($E$13=2,IF($F$18=4,'Input-Output'!$E$16*0.001102*Calculations!H87*0.4536,0),0),0))</f>
        <v>0</v>
      </c>
      <c r="J87" s="15" t="s">
        <v>187</v>
      </c>
    </row>
    <row r="88" spans="3:10" ht="18">
      <c r="C88" s="11"/>
      <c r="D88" s="31"/>
      <c r="E88" s="31"/>
      <c r="F88" s="31" t="s">
        <v>133</v>
      </c>
      <c r="G88" s="12" t="s">
        <v>9</v>
      </c>
      <c r="H88" s="76">
        <f>H87*0.61</f>
        <v>0.6344</v>
      </c>
      <c r="I88" s="89">
        <f>IF($C$12=3,0,IF($D$13=2,IF($E$13=2,IF($F$18=4,'Input-Output'!$E$16*0.001102*Calculations!H88*0.4536,0),0),0))</f>
        <v>0</v>
      </c>
      <c r="J88" s="15" t="s">
        <v>187</v>
      </c>
    </row>
    <row r="89" spans="3:10" ht="18">
      <c r="C89" s="11"/>
      <c r="D89" s="31"/>
      <c r="E89" s="31"/>
      <c r="F89" s="31" t="s">
        <v>132</v>
      </c>
      <c r="G89" s="12" t="s">
        <v>9</v>
      </c>
      <c r="H89" s="76">
        <f>H88*0.79</f>
        <v>0.501176</v>
      </c>
      <c r="I89" s="89">
        <f>IF($C$12=3,0,IF($D$13=2,IF($E$13=2,IF($F$18=4,'Input-Output'!$E$16*0.001102*Calculations!H89*0.4536,0),0),0))</f>
        <v>0</v>
      </c>
      <c r="J89" s="15" t="s">
        <v>187</v>
      </c>
    </row>
    <row r="90" spans="3:10" ht="15">
      <c r="C90" s="11"/>
      <c r="D90" s="31"/>
      <c r="E90" s="31"/>
      <c r="F90" s="31" t="s">
        <v>18</v>
      </c>
      <c r="G90" s="12" t="s">
        <v>25</v>
      </c>
      <c r="H90" s="14">
        <v>0.7</v>
      </c>
      <c r="I90" s="89">
        <f>IF($C$12=3,0,IF($D$13=2,IF($E$13=2,IF($F$18=4,'Input-Output'!$E$16*0.001102*Calculations!H90*0.4536,0),0),0))</f>
        <v>0</v>
      </c>
      <c r="J90" s="15" t="s">
        <v>186</v>
      </c>
    </row>
    <row r="91" spans="3:10" ht="15">
      <c r="C91" s="11"/>
      <c r="D91" s="31"/>
      <c r="E91" s="31"/>
      <c r="F91" s="31" t="s">
        <v>19</v>
      </c>
      <c r="G91" s="12" t="s">
        <v>20</v>
      </c>
      <c r="H91" s="14">
        <v>5.3</v>
      </c>
      <c r="I91" s="89">
        <f>IF($C$12=3,0,IF($D$13=2,IF($E$13=2,IF($F$18=4,'Input-Output'!$E$16*0.001102*Calculations!H91*0.4536,0),0),0))</f>
        <v>0</v>
      </c>
      <c r="J91" s="15" t="s">
        <v>189</v>
      </c>
    </row>
    <row r="92" spans="3:10" ht="15">
      <c r="C92" s="11"/>
      <c r="D92" s="31"/>
      <c r="E92" s="31"/>
      <c r="F92" s="31" t="s">
        <v>21</v>
      </c>
      <c r="G92" s="12" t="s">
        <v>22</v>
      </c>
      <c r="H92" s="14">
        <v>600</v>
      </c>
      <c r="I92" s="89">
        <f>IF($C$12=3,0,IF($D$13=2,IF($E$13=2,IF($F$18=4,'Input-Output'!$E$16*0.001102*Calculations!H92*0.4536,0),0),0))</f>
        <v>0</v>
      </c>
      <c r="J92" s="15" t="s">
        <v>186</v>
      </c>
    </row>
    <row r="93" spans="3:10" ht="15">
      <c r="C93" s="11"/>
      <c r="D93" s="31"/>
      <c r="E93" s="31"/>
      <c r="F93" s="31" t="s">
        <v>27</v>
      </c>
      <c r="G93" s="12" t="s">
        <v>9</v>
      </c>
      <c r="H93" s="14">
        <v>6.7</v>
      </c>
      <c r="I93" s="89">
        <f>IF($C$12=3,0,IF($D$13=2,IF($E$13=2,IF($F$18=4,'Input-Output'!$E$16*0.001102*Calculations!H93*0.4536,0),0),0))</f>
        <v>0</v>
      </c>
      <c r="J93" s="15" t="s">
        <v>189</v>
      </c>
    </row>
    <row r="94" spans="3:10" ht="15">
      <c r="C94" s="11"/>
      <c r="D94" s="31"/>
      <c r="E94" s="31"/>
      <c r="F94" s="31" t="s">
        <v>28</v>
      </c>
      <c r="G94" s="12" t="s">
        <v>9</v>
      </c>
      <c r="H94" s="14">
        <v>8.1</v>
      </c>
      <c r="I94" s="89">
        <f>IF($C$12=3,0,IF($D$13=2,IF($E$13=2,IF($F$18=4,'Input-Output'!$E$16*0.001102*Calculations!H94*0.4536,0),0),0))</f>
        <v>0</v>
      </c>
      <c r="J94" s="15" t="s">
        <v>186</v>
      </c>
    </row>
    <row r="95" spans="3:10" ht="15">
      <c r="C95" s="11"/>
      <c r="D95" s="31"/>
      <c r="E95" s="31"/>
      <c r="F95" s="31" t="s">
        <v>29</v>
      </c>
      <c r="G95" s="12" t="s">
        <v>30</v>
      </c>
      <c r="H95" s="14">
        <v>0.066</v>
      </c>
      <c r="I95" s="89">
        <f>IF($C$12=3,0,IF($D$13=2,IF($E$13=2,IF($F$18=4,'Input-Output'!$E$16*0.001102*Calculations!H95*0.4536,0),0),0))</f>
        <v>0</v>
      </c>
      <c r="J95" s="15" t="s">
        <v>187</v>
      </c>
    </row>
    <row r="96" spans="3:10" ht="15">
      <c r="C96" s="11"/>
      <c r="D96" s="31"/>
      <c r="E96" s="31"/>
      <c r="F96" s="31" t="s">
        <v>31</v>
      </c>
      <c r="G96" s="12" t="s">
        <v>32</v>
      </c>
      <c r="H96" s="14">
        <v>0.11</v>
      </c>
      <c r="I96" s="89">
        <f>IF($C$12=3,0,IF($D$13=2,IF($E$13=2,IF($F$18=4,'Input-Output'!$E$16*0.001102*Calculations!H96*0.4536,0),0),0))</f>
        <v>0</v>
      </c>
      <c r="J96" s="15" t="s">
        <v>187</v>
      </c>
    </row>
    <row r="97" spans="3:10" ht="15">
      <c r="C97" s="11"/>
      <c r="D97" s="31"/>
      <c r="E97" s="31"/>
      <c r="F97" s="31" t="s">
        <v>33</v>
      </c>
      <c r="G97" s="12" t="s">
        <v>34</v>
      </c>
      <c r="H97" s="14">
        <v>0.16</v>
      </c>
      <c r="I97" s="89">
        <f>IF($C$12=3,0,IF($D$13=2,IF($E$13=2,IF($F$18=4,'Input-Output'!$E$16*0.001102*Calculations!H97*0.4536,0),0),0))</f>
        <v>0</v>
      </c>
      <c r="J97" s="15" t="s">
        <v>187</v>
      </c>
    </row>
    <row r="98" spans="3:10" ht="15">
      <c r="C98" s="11"/>
      <c r="D98" s="31"/>
      <c r="E98" s="31"/>
      <c r="F98" s="31" t="s">
        <v>35</v>
      </c>
      <c r="G98" s="12" t="s">
        <v>36</v>
      </c>
      <c r="H98" s="14">
        <v>0.072</v>
      </c>
      <c r="I98" s="89">
        <f>IF($C$12=3,0,IF($D$13=2,IF($E$13=2,IF($F$18=4,'Input-Output'!$E$16*0.001102*Calculations!H98*0.4536,0),0),0))</f>
        <v>0</v>
      </c>
      <c r="J98" s="15" t="s">
        <v>187</v>
      </c>
    </row>
    <row r="99" spans="3:10" ht="15">
      <c r="C99" s="11"/>
      <c r="D99" s="31"/>
      <c r="E99" s="31"/>
      <c r="F99" s="31" t="s">
        <v>37</v>
      </c>
      <c r="G99" s="12" t="s">
        <v>38</v>
      </c>
      <c r="H99" s="14">
        <v>2.9</v>
      </c>
      <c r="I99" s="89">
        <f>IF($C$12=3,0,IF($D$13=2,IF($E$13=2,IF($F$18=4,'Input-Output'!$E$16*0.001102*Calculations!H99*0.4536,0),0),0))</f>
        <v>0</v>
      </c>
      <c r="J99" s="15" t="s">
        <v>187</v>
      </c>
    </row>
    <row r="100" spans="3:10" ht="15">
      <c r="C100" s="11"/>
      <c r="D100" s="31"/>
      <c r="E100" s="31"/>
      <c r="F100" s="31" t="s">
        <v>39</v>
      </c>
      <c r="G100" s="12" t="s">
        <v>40</v>
      </c>
      <c r="H100" s="14">
        <v>0.0067</v>
      </c>
      <c r="I100" s="89">
        <f>IF($C$12=3,0,IF($D$13=2,IF($E$13=2,IF($F$18=4,'Input-Output'!$E$16*0.001102*Calculations!H100*0.4536,0),0),0))</f>
        <v>0</v>
      </c>
      <c r="J100" s="15" t="s">
        <v>187</v>
      </c>
    </row>
    <row r="101" spans="3:10" ht="15">
      <c r="C101" s="11"/>
      <c r="D101" s="31"/>
      <c r="E101" s="31"/>
      <c r="F101" s="31" t="s">
        <v>41</v>
      </c>
      <c r="G101" s="12" t="s">
        <v>42</v>
      </c>
      <c r="H101" s="14">
        <v>1</v>
      </c>
      <c r="I101" s="89">
        <f>IF($C$12=3,0,IF($D$13=2,IF($E$13=2,IF($F$18=4,'Input-Output'!$E$16*0.001102*Calculations!H101*0.4536,0),0),0))</f>
        <v>0</v>
      </c>
      <c r="J101" s="15" t="s">
        <v>187</v>
      </c>
    </row>
    <row r="102" spans="3:10" ht="15">
      <c r="C102" s="11"/>
      <c r="D102" s="31"/>
      <c r="E102" s="31"/>
      <c r="F102" s="31" t="s">
        <v>43</v>
      </c>
      <c r="G102" s="12" t="s">
        <v>44</v>
      </c>
      <c r="H102" s="14">
        <v>0.068</v>
      </c>
      <c r="I102" s="89">
        <f>IF($C$12=3,0,IF($D$13=2,IF($E$13=2,IF($F$18=4,'Input-Output'!$E$16*0.001102*Calculations!H102*0.4536,0),0),0))</f>
        <v>0</v>
      </c>
      <c r="J102" s="15" t="s">
        <v>187</v>
      </c>
    </row>
    <row r="103" spans="3:10" ht="15">
      <c r="C103" s="11"/>
      <c r="D103" s="31"/>
      <c r="E103" s="31"/>
      <c r="F103" s="31" t="s">
        <v>45</v>
      </c>
      <c r="G103" s="12" t="s">
        <v>46</v>
      </c>
      <c r="H103" s="14">
        <v>0.0022</v>
      </c>
      <c r="I103" s="89">
        <f>IF($C$12=3,0,IF($D$13=2,IF($E$13=2,IF($F$18=4,'Input-Output'!$E$16*0.001102*Calculations!H103*0.4536,0),0),0))</f>
        <v>0</v>
      </c>
      <c r="J103" s="15" t="s">
        <v>187</v>
      </c>
    </row>
    <row r="104" spans="3:10" ht="15">
      <c r="C104" s="11"/>
      <c r="D104" s="31"/>
      <c r="E104" s="31"/>
      <c r="F104" s="31" t="s">
        <v>47</v>
      </c>
      <c r="G104" s="12" t="s">
        <v>48</v>
      </c>
      <c r="H104" s="14">
        <v>0.055</v>
      </c>
      <c r="I104" s="89">
        <f>IF($C$12=3,0,IF($D$13=2,IF($E$13=2,IF($F$18=4,'Input-Output'!$E$16*0.001102*Calculations!H104*0.4536,0),0),0))</f>
        <v>0</v>
      </c>
      <c r="J104" s="15" t="s">
        <v>187</v>
      </c>
    </row>
    <row r="105" spans="3:10" ht="15">
      <c r="C105" s="11"/>
      <c r="D105" s="31"/>
      <c r="E105" s="31"/>
      <c r="F105" s="31" t="s">
        <v>49</v>
      </c>
      <c r="G105" s="12" t="s">
        <v>50</v>
      </c>
      <c r="H105" s="14">
        <v>0.13</v>
      </c>
      <c r="I105" s="89">
        <f>IF($C$12=3,0,IF($D$13=2,IF($E$13=2,IF($F$18=4,'Input-Output'!$E$16*0.001102*Calculations!H105*0.4536,0),0),0))</f>
        <v>0</v>
      </c>
      <c r="J105" s="15" t="s">
        <v>189</v>
      </c>
    </row>
    <row r="106" spans="3:10" ht="15">
      <c r="C106" s="11"/>
      <c r="D106" s="31"/>
      <c r="E106" s="31"/>
      <c r="F106" s="31" t="s">
        <v>51</v>
      </c>
      <c r="G106" s="12" t="s">
        <v>52</v>
      </c>
      <c r="H106" s="14">
        <v>0.14</v>
      </c>
      <c r="I106" s="89">
        <f>IF($C$12=3,0,IF($D$13=2,IF($E$13=2,IF($F$18=4,'Input-Output'!$E$16*0.001102*Calculations!H106*0.4536,0),0),0))</f>
        <v>0</v>
      </c>
      <c r="J106" s="15" t="s">
        <v>187</v>
      </c>
    </row>
    <row r="107" spans="3:10" ht="15">
      <c r="C107" s="11"/>
      <c r="D107" s="31"/>
      <c r="E107" s="31"/>
      <c r="F107" s="31" t="s">
        <v>53</v>
      </c>
      <c r="G107" s="12" t="s">
        <v>54</v>
      </c>
      <c r="H107" s="14">
        <v>0.1</v>
      </c>
      <c r="I107" s="89">
        <f>IF($C$12=3,0,IF($D$13=2,IF($E$13=2,IF($F$18=4,'Input-Output'!$E$16*0.001102*Calculations!H107*0.4536,0),0),0))</f>
        <v>0</v>
      </c>
      <c r="J107" s="15" t="s">
        <v>187</v>
      </c>
    </row>
    <row r="108" spans="3:10" ht="15">
      <c r="C108" s="11"/>
      <c r="D108" s="31"/>
      <c r="E108" s="31"/>
      <c r="F108" s="31" t="s">
        <v>55</v>
      </c>
      <c r="G108" s="12" t="s">
        <v>56</v>
      </c>
      <c r="H108" s="14">
        <v>0.0089</v>
      </c>
      <c r="I108" s="89">
        <f>IF($C$12=3,0,IF($D$13=2,IF($E$13=2,IF($F$18=4,'Input-Output'!$E$16*0.001102*Calculations!H108*0.4536,0),0),0))</f>
        <v>0</v>
      </c>
      <c r="J108" s="15" t="s">
        <v>187</v>
      </c>
    </row>
    <row r="109" spans="3:10" ht="15">
      <c r="C109" s="11"/>
      <c r="D109" s="31"/>
      <c r="E109" s="31"/>
      <c r="F109" s="31" t="s">
        <v>57</v>
      </c>
      <c r="G109" s="12" t="s">
        <v>58</v>
      </c>
      <c r="H109" s="14">
        <v>0.0078</v>
      </c>
      <c r="I109" s="89">
        <f>IF($C$12=3,0,IF($D$13=2,IF($E$13=2,IF($F$18=4,'Input-Output'!$E$16*0.001102*Calculations!H109*0.4536,0),0),0))</f>
        <v>0</v>
      </c>
      <c r="J109" s="15" t="s">
        <v>187</v>
      </c>
    </row>
    <row r="110" spans="3:10" ht="15">
      <c r="C110" s="11"/>
      <c r="D110" s="31"/>
      <c r="E110" s="31"/>
      <c r="F110" s="31" t="s">
        <v>59</v>
      </c>
      <c r="G110" s="12" t="s">
        <v>60</v>
      </c>
      <c r="H110" s="14">
        <v>0.01</v>
      </c>
      <c r="I110" s="89">
        <f>IF($C$12=3,0,IF($D$13=2,IF($E$13=2,IF($F$18=4,'Input-Output'!$E$16*0.001102*Calculations!H110*0.4536,0),0),0))</f>
        <v>0</v>
      </c>
      <c r="J110" s="15" t="s">
        <v>187</v>
      </c>
    </row>
    <row r="111" spans="3:10" ht="15">
      <c r="C111" s="11"/>
      <c r="D111" s="31"/>
      <c r="E111" s="31"/>
      <c r="F111" s="31" t="s">
        <v>61</v>
      </c>
      <c r="G111" s="12" t="s">
        <v>62</v>
      </c>
      <c r="H111" s="14">
        <v>0.067</v>
      </c>
      <c r="I111" s="89">
        <f>IF($C$12=3,0,IF($D$13=2,IF($E$13=2,IF($F$18=4,'Input-Output'!$E$16*0.001102*Calculations!H111*0.4536,0),0),0))</f>
        <v>0</v>
      </c>
      <c r="J111" s="15" t="s">
        <v>187</v>
      </c>
    </row>
    <row r="112" spans="3:10" ht="15">
      <c r="C112" s="11"/>
      <c r="D112" s="31"/>
      <c r="E112" s="31"/>
      <c r="F112" s="31" t="s">
        <v>63</v>
      </c>
      <c r="G112" s="12" t="s">
        <v>64</v>
      </c>
      <c r="H112" s="14">
        <v>0.063</v>
      </c>
      <c r="I112" s="89">
        <f>IF($C$12=3,0,IF($D$13=2,IF($E$13=2,IF($F$18=4,'Input-Output'!$E$16*0.001102*Calculations!H112*0.4536,0),0),0))</f>
        <v>0</v>
      </c>
      <c r="J112" s="15" t="s">
        <v>187</v>
      </c>
    </row>
    <row r="113" spans="3:10" ht="15">
      <c r="C113" s="11"/>
      <c r="D113" s="31"/>
      <c r="E113" s="31"/>
      <c r="F113" s="31" t="s">
        <v>65</v>
      </c>
      <c r="G113" s="12" t="s">
        <v>66</v>
      </c>
      <c r="H113" s="14">
        <v>0.015</v>
      </c>
      <c r="I113" s="89">
        <f>IF($C$12=3,0,IF($D$13=2,IF($E$13=2,IF($F$18=4,'Input-Output'!$E$16*0.001102*Calculations!H113*0.4536,0),0),0))</f>
        <v>0</v>
      </c>
      <c r="J113" s="15" t="s">
        <v>187</v>
      </c>
    </row>
    <row r="114" spans="3:10" ht="15">
      <c r="C114" s="11"/>
      <c r="D114" s="31"/>
      <c r="E114" s="31"/>
      <c r="F114" s="31" t="s">
        <v>67</v>
      </c>
      <c r="G114" s="12" t="s">
        <v>68</v>
      </c>
      <c r="H114" s="14">
        <v>0.011</v>
      </c>
      <c r="I114" s="89">
        <f>IF($C$12=3,0,IF($D$13=2,IF($E$13=2,IF($F$18=4,'Input-Output'!$E$16*0.001102*Calculations!H114*0.4536,0),0),0))</f>
        <v>0</v>
      </c>
      <c r="J114" s="15" t="s">
        <v>187</v>
      </c>
    </row>
    <row r="115" spans="3:10" ht="15">
      <c r="C115" s="11"/>
      <c r="D115" s="31"/>
      <c r="E115" s="40"/>
      <c r="F115" s="40" t="s">
        <v>69</v>
      </c>
      <c r="G115" s="41" t="s">
        <v>70</v>
      </c>
      <c r="H115" s="42">
        <v>0.015</v>
      </c>
      <c r="I115" s="189">
        <f>IF($C$12=3,0,IF($D$13=2,IF($E$13=2,IF($F$18=4,'Input-Output'!$E$16*0.001102*Calculations!H115*0.4536,0),0),0))</f>
        <v>0</v>
      </c>
      <c r="J115" s="43" t="s">
        <v>187</v>
      </c>
    </row>
    <row r="116" spans="3:10" ht="18">
      <c r="C116" s="11"/>
      <c r="D116" s="31"/>
      <c r="E116" s="44" t="s">
        <v>137</v>
      </c>
      <c r="F116" s="44" t="s">
        <v>8</v>
      </c>
      <c r="G116" s="45" t="s">
        <v>9</v>
      </c>
      <c r="H116" s="46">
        <v>0.89</v>
      </c>
      <c r="I116" s="190">
        <f>IF($C$12=3,0,IF($D$13=2,IF($E$13=2,IF($F$18=5,'Input-Output'!$E$16*0.001102*Calculations!H116*0.4536,0),0),0))</f>
        <v>0</v>
      </c>
      <c r="J116" s="15" t="s">
        <v>187</v>
      </c>
    </row>
    <row r="117" spans="3:10" ht="18">
      <c r="C117" s="11"/>
      <c r="D117" s="31"/>
      <c r="E117" s="31"/>
      <c r="F117" s="31" t="s">
        <v>133</v>
      </c>
      <c r="G117" s="12" t="s">
        <v>9</v>
      </c>
      <c r="H117" s="75">
        <f>H116*0.61</f>
        <v>0.5429</v>
      </c>
      <c r="I117" s="89">
        <f>IF($C$12=3,0,IF($D$13=2,IF($E$13=2,IF($F$18=5,'Input-Output'!$E$16*0.001102*Calculations!H117*0.4536,0),0),0))</f>
        <v>0</v>
      </c>
      <c r="J117" s="15" t="s">
        <v>187</v>
      </c>
    </row>
    <row r="118" spans="3:10" ht="18">
      <c r="C118" s="11"/>
      <c r="D118" s="31"/>
      <c r="E118" s="31"/>
      <c r="F118" s="31" t="s">
        <v>132</v>
      </c>
      <c r="G118" s="12" t="s">
        <v>9</v>
      </c>
      <c r="H118" s="75">
        <f>H117*0.79</f>
        <v>0.4288910000000001</v>
      </c>
      <c r="I118" s="89">
        <f>IF($C$12=3,0,IF($D$13=2,IF($E$13=2,IF($F$18=5,'Input-Output'!$E$16*0.001102*Calculations!H118*0.4536,0),0),0))</f>
        <v>0</v>
      </c>
      <c r="J118" s="15" t="s">
        <v>187</v>
      </c>
    </row>
    <row r="119" spans="3:10" ht="15">
      <c r="C119" s="11"/>
      <c r="D119" s="31"/>
      <c r="E119" s="31"/>
      <c r="F119" s="31" t="s">
        <v>18</v>
      </c>
      <c r="G119" s="12" t="s">
        <v>25</v>
      </c>
      <c r="H119" s="14">
        <v>0.7</v>
      </c>
      <c r="I119" s="89">
        <f>IF($C$12=3,0,IF($D$13=2,IF($E$13=2,IF($F$18=5,'Input-Output'!$E$16*0.001102*Calculations!H119*0.4536,0),0),0))</f>
        <v>0</v>
      </c>
      <c r="J119" s="15" t="s">
        <v>186</v>
      </c>
    </row>
    <row r="120" spans="3:10" ht="15">
      <c r="C120" s="11"/>
      <c r="D120" s="31"/>
      <c r="E120" s="31"/>
      <c r="F120" s="31" t="s">
        <v>19</v>
      </c>
      <c r="G120" s="12" t="s">
        <v>20</v>
      </c>
      <c r="H120" s="14">
        <v>5.3</v>
      </c>
      <c r="I120" s="89">
        <f>IF($C$12=3,0,IF($D$13=2,IF($E$13=2,IF($F$18=5,'Input-Output'!$E$16*0.001102*Calculations!H120*0.4536,0),0),0))</f>
        <v>0</v>
      </c>
      <c r="J120" s="15" t="s">
        <v>189</v>
      </c>
    </row>
    <row r="121" spans="3:10" ht="15">
      <c r="C121" s="11"/>
      <c r="D121" s="31"/>
      <c r="E121" s="31"/>
      <c r="F121" s="31" t="s">
        <v>21</v>
      </c>
      <c r="G121" s="12" t="s">
        <v>22</v>
      </c>
      <c r="H121" s="14">
        <v>600</v>
      </c>
      <c r="I121" s="89">
        <f>IF($C$12=3,0,IF($D$13=2,IF($E$13=2,IF($F$18=5,'Input-Output'!$E$16*0.001102*Calculations!H121*0.4536,0),0),0))</f>
        <v>0</v>
      </c>
      <c r="J121" s="15" t="s">
        <v>186</v>
      </c>
    </row>
    <row r="122" spans="3:10" ht="15">
      <c r="C122" s="11"/>
      <c r="D122" s="31"/>
      <c r="E122" s="31"/>
      <c r="F122" s="31" t="s">
        <v>27</v>
      </c>
      <c r="G122" s="12" t="s">
        <v>9</v>
      </c>
      <c r="H122" s="14">
        <v>6.7</v>
      </c>
      <c r="I122" s="89">
        <f>IF($C$12=3,0,IF($D$13=2,IF($E$13=2,IF($F$18=5,'Input-Output'!$E$16*0.001102*Calculations!H122*0.4536,0),0),0))</f>
        <v>0</v>
      </c>
      <c r="J122" s="15" t="s">
        <v>189</v>
      </c>
    </row>
    <row r="123" spans="3:10" ht="15">
      <c r="C123" s="11"/>
      <c r="D123" s="31"/>
      <c r="E123" s="31"/>
      <c r="F123" s="31" t="s">
        <v>28</v>
      </c>
      <c r="G123" s="12" t="s">
        <v>9</v>
      </c>
      <c r="H123" s="14">
        <v>8.1</v>
      </c>
      <c r="I123" s="89">
        <f>IF($C$12=3,0,IF($D$13=2,IF($E$13=2,IF($F$18=5,'Input-Output'!$E$16*0.001102*Calculations!H123*0.4536,0),0),0))</f>
        <v>0</v>
      </c>
      <c r="J123" s="15" t="s">
        <v>186</v>
      </c>
    </row>
    <row r="124" spans="3:10" ht="15">
      <c r="C124" s="11"/>
      <c r="D124" s="31"/>
      <c r="E124" s="31"/>
      <c r="F124" s="31" t="s">
        <v>29</v>
      </c>
      <c r="G124" s="12" t="s">
        <v>30</v>
      </c>
      <c r="H124" s="14">
        <v>0.066</v>
      </c>
      <c r="I124" s="89">
        <f>IF($C$12=3,0,IF($D$13=2,IF($E$13=2,IF($F$18=5,'Input-Output'!$E$16*0.001102*Calculations!H124*0.4536,0),0),0))</f>
        <v>0</v>
      </c>
      <c r="J124" s="15" t="s">
        <v>187</v>
      </c>
    </row>
    <row r="125" spans="3:10" ht="15">
      <c r="C125" s="11"/>
      <c r="D125" s="31"/>
      <c r="E125" s="31"/>
      <c r="F125" s="31" t="s">
        <v>31</v>
      </c>
      <c r="G125" s="12" t="s">
        <v>32</v>
      </c>
      <c r="H125" s="14">
        <v>0.11</v>
      </c>
      <c r="I125" s="89">
        <f>IF($C$12=3,0,IF($D$13=2,IF($E$13=2,IF($F$18=5,'Input-Output'!$E$16*0.001102*Calculations!H125*0.4536,0),0),0))</f>
        <v>0</v>
      </c>
      <c r="J125" s="15" t="s">
        <v>187</v>
      </c>
    </row>
    <row r="126" spans="3:10" ht="15">
      <c r="C126" s="11"/>
      <c r="D126" s="31"/>
      <c r="E126" s="31"/>
      <c r="F126" s="31" t="s">
        <v>33</v>
      </c>
      <c r="G126" s="12" t="s">
        <v>34</v>
      </c>
      <c r="H126" s="14">
        <v>0.16</v>
      </c>
      <c r="I126" s="89">
        <f>IF($C$12=3,0,IF($D$13=2,IF($E$13=2,IF($F$18=5,'Input-Output'!$E$16*0.001102*Calculations!H126*0.4536,0),0),0))</f>
        <v>0</v>
      </c>
      <c r="J126" s="15" t="s">
        <v>187</v>
      </c>
    </row>
    <row r="127" spans="3:10" ht="15">
      <c r="C127" s="11"/>
      <c r="D127" s="31"/>
      <c r="E127" s="31"/>
      <c r="F127" s="31" t="s">
        <v>35</v>
      </c>
      <c r="G127" s="12" t="s">
        <v>36</v>
      </c>
      <c r="H127" s="14">
        <v>0.072</v>
      </c>
      <c r="I127" s="89">
        <f>IF($C$12=3,0,IF($D$13=2,IF($E$13=2,IF($F$18=5,'Input-Output'!$E$16*0.001102*Calculations!H127*0.4536,0),0),0))</f>
        <v>0</v>
      </c>
      <c r="J127" s="15" t="s">
        <v>187</v>
      </c>
    </row>
    <row r="128" spans="3:10" ht="15">
      <c r="C128" s="11"/>
      <c r="D128" s="31"/>
      <c r="E128" s="31"/>
      <c r="F128" s="31" t="s">
        <v>37</v>
      </c>
      <c r="G128" s="12" t="s">
        <v>38</v>
      </c>
      <c r="H128" s="14">
        <v>2.9</v>
      </c>
      <c r="I128" s="89">
        <f>IF($C$12=3,0,IF($D$13=2,IF($E$13=2,IF($F$18=5,'Input-Output'!$E$16*0.001102*Calculations!H128*0.4536,0),0),0))</f>
        <v>0</v>
      </c>
      <c r="J128" s="15" t="s">
        <v>187</v>
      </c>
    </row>
    <row r="129" spans="3:10" ht="15">
      <c r="C129" s="11"/>
      <c r="D129" s="31"/>
      <c r="E129" s="31"/>
      <c r="F129" s="31" t="s">
        <v>39</v>
      </c>
      <c r="G129" s="12" t="s">
        <v>40</v>
      </c>
      <c r="H129" s="14">
        <v>0.0067</v>
      </c>
      <c r="I129" s="89">
        <f>IF($C$12=3,0,IF($D$13=2,IF($E$13=2,IF($F$18=5,'Input-Output'!$E$16*0.001102*Calculations!H129*0.4536,0),0),0))</f>
        <v>0</v>
      </c>
      <c r="J129" s="15" t="s">
        <v>187</v>
      </c>
    </row>
    <row r="130" spans="3:10" ht="15">
      <c r="C130" s="11"/>
      <c r="D130" s="31"/>
      <c r="E130" s="31"/>
      <c r="F130" s="31" t="s">
        <v>41</v>
      </c>
      <c r="G130" s="12" t="s">
        <v>42</v>
      </c>
      <c r="H130" s="14">
        <v>1</v>
      </c>
      <c r="I130" s="89">
        <f>IF($C$12=3,0,IF($D$13=2,IF($E$13=2,IF($F$18=5,'Input-Output'!$E$16*0.001102*Calculations!H130*0.4536,0),0),0))</f>
        <v>0</v>
      </c>
      <c r="J130" s="15" t="s">
        <v>187</v>
      </c>
    </row>
    <row r="131" spans="3:10" ht="15">
      <c r="C131" s="11"/>
      <c r="D131" s="31"/>
      <c r="E131" s="31"/>
      <c r="F131" s="31" t="s">
        <v>43</v>
      </c>
      <c r="G131" s="12" t="s">
        <v>44</v>
      </c>
      <c r="H131" s="14">
        <v>0.068</v>
      </c>
      <c r="I131" s="89">
        <f>IF($C$12=3,0,IF($D$13=2,IF($E$13=2,IF($F$18=5,'Input-Output'!$E$16*0.001102*Calculations!H131*0.4536,0),0),0))</f>
        <v>0</v>
      </c>
      <c r="J131" s="15" t="s">
        <v>187</v>
      </c>
    </row>
    <row r="132" spans="3:10" ht="15">
      <c r="C132" s="11"/>
      <c r="D132" s="31"/>
      <c r="E132" s="31"/>
      <c r="F132" s="31" t="s">
        <v>45</v>
      </c>
      <c r="G132" s="12" t="s">
        <v>46</v>
      </c>
      <c r="H132" s="14">
        <v>0.0022</v>
      </c>
      <c r="I132" s="89">
        <f>IF($C$12=3,0,IF($D$13=2,IF($E$13=2,IF($F$18=5,'Input-Output'!$E$16*0.001102*Calculations!H132*0.4536,0),0),0))</f>
        <v>0</v>
      </c>
      <c r="J132" s="15" t="s">
        <v>187</v>
      </c>
    </row>
    <row r="133" spans="3:10" ht="15">
      <c r="C133" s="11"/>
      <c r="D133" s="31"/>
      <c r="E133" s="31"/>
      <c r="F133" s="31" t="s">
        <v>47</v>
      </c>
      <c r="G133" s="12" t="s">
        <v>48</v>
      </c>
      <c r="H133" s="14">
        <v>0.055</v>
      </c>
      <c r="I133" s="89">
        <f>IF($C$12=3,0,IF($D$13=2,IF($E$13=2,IF($F$18=5,'Input-Output'!$E$16*0.001102*Calculations!H133*0.4536,0),0),0))</f>
        <v>0</v>
      </c>
      <c r="J133" s="15" t="s">
        <v>187</v>
      </c>
    </row>
    <row r="134" spans="3:10" ht="15">
      <c r="C134" s="11"/>
      <c r="D134" s="31"/>
      <c r="E134" s="31"/>
      <c r="F134" s="31" t="s">
        <v>49</v>
      </c>
      <c r="G134" s="12" t="s">
        <v>50</v>
      </c>
      <c r="H134" s="14">
        <v>0.13</v>
      </c>
      <c r="I134" s="89">
        <f>IF($C$12=3,0,IF($D$13=2,IF($E$13=2,IF($F$18=5,'Input-Output'!$E$16*0.001102*Calculations!H134*0.4536,0),0),0))</f>
        <v>0</v>
      </c>
      <c r="J134" s="15" t="s">
        <v>189</v>
      </c>
    </row>
    <row r="135" spans="3:10" ht="15">
      <c r="C135" s="11"/>
      <c r="D135" s="31"/>
      <c r="E135" s="31"/>
      <c r="F135" s="31" t="s">
        <v>51</v>
      </c>
      <c r="G135" s="12" t="s">
        <v>52</v>
      </c>
      <c r="H135" s="14">
        <v>0.14</v>
      </c>
      <c r="I135" s="89">
        <f>IF($C$12=3,0,IF($D$13=2,IF($E$13=2,IF($F$18=5,'Input-Output'!$E$16*0.001102*Calculations!H135*0.4536,0),0),0))</f>
        <v>0</v>
      </c>
      <c r="J135" s="15" t="s">
        <v>187</v>
      </c>
    </row>
    <row r="136" spans="3:10" ht="15">
      <c r="C136" s="11"/>
      <c r="D136" s="31"/>
      <c r="E136" s="31"/>
      <c r="F136" s="31" t="s">
        <v>53</v>
      </c>
      <c r="G136" s="12" t="s">
        <v>54</v>
      </c>
      <c r="H136" s="14">
        <v>0.1</v>
      </c>
      <c r="I136" s="89">
        <f>IF($C$12=3,0,IF($D$13=2,IF($E$13=2,IF($F$18=5,'Input-Output'!$E$16*0.001102*Calculations!H136*0.4536,0),0),0))</f>
        <v>0</v>
      </c>
      <c r="J136" s="15" t="s">
        <v>187</v>
      </c>
    </row>
    <row r="137" spans="3:10" ht="15">
      <c r="C137" s="11"/>
      <c r="D137" s="31"/>
      <c r="E137" s="31"/>
      <c r="F137" s="31" t="s">
        <v>55</v>
      </c>
      <c r="G137" s="12" t="s">
        <v>56</v>
      </c>
      <c r="H137" s="14">
        <v>0.0089</v>
      </c>
      <c r="I137" s="89">
        <f>IF($C$12=3,0,IF($D$13=2,IF($E$13=2,IF($F$18=5,'Input-Output'!$E$16*0.001102*Calculations!H137*0.4536,0),0),0))</f>
        <v>0</v>
      </c>
      <c r="J137" s="15" t="s">
        <v>187</v>
      </c>
    </row>
    <row r="138" spans="3:10" ht="15">
      <c r="C138" s="11"/>
      <c r="D138" s="31"/>
      <c r="E138" s="31"/>
      <c r="F138" s="31" t="s">
        <v>57</v>
      </c>
      <c r="G138" s="12" t="s">
        <v>58</v>
      </c>
      <c r="H138" s="14">
        <v>0.0078</v>
      </c>
      <c r="I138" s="89">
        <f>IF($C$12=3,0,IF($D$13=2,IF($E$13=2,IF($F$18=5,'Input-Output'!$E$16*0.001102*Calculations!H138*0.4536,0),0),0))</f>
        <v>0</v>
      </c>
      <c r="J138" s="15" t="s">
        <v>187</v>
      </c>
    </row>
    <row r="139" spans="3:10" ht="15">
      <c r="C139" s="11"/>
      <c r="D139" s="31"/>
      <c r="E139" s="31"/>
      <c r="F139" s="31" t="s">
        <v>59</v>
      </c>
      <c r="G139" s="12" t="s">
        <v>60</v>
      </c>
      <c r="H139" s="14">
        <v>0.01</v>
      </c>
      <c r="I139" s="89">
        <f>IF($C$12=3,0,IF($D$13=2,IF($E$13=2,IF($F$18=5,'Input-Output'!$E$16*0.001102*Calculations!H139*0.4536,0),0),0))</f>
        <v>0</v>
      </c>
      <c r="J139" s="15" t="s">
        <v>187</v>
      </c>
    </row>
    <row r="140" spans="3:10" ht="15">
      <c r="C140" s="11"/>
      <c r="D140" s="31"/>
      <c r="E140" s="31"/>
      <c r="F140" s="31" t="s">
        <v>61</v>
      </c>
      <c r="G140" s="12" t="s">
        <v>62</v>
      </c>
      <c r="H140" s="14">
        <v>0.067</v>
      </c>
      <c r="I140" s="89">
        <f>IF($C$12=3,0,IF($D$13=2,IF($E$13=2,IF($F$18=5,'Input-Output'!$E$16*0.001102*Calculations!H140*0.4536,0),0),0))</f>
        <v>0</v>
      </c>
      <c r="J140" s="15" t="s">
        <v>187</v>
      </c>
    </row>
    <row r="141" spans="3:10" ht="15">
      <c r="C141" s="11"/>
      <c r="D141" s="31"/>
      <c r="E141" s="31"/>
      <c r="F141" s="31" t="s">
        <v>63</v>
      </c>
      <c r="G141" s="12" t="s">
        <v>64</v>
      </c>
      <c r="H141" s="14">
        <v>0.063</v>
      </c>
      <c r="I141" s="89">
        <f>IF($C$12=3,0,IF($D$13=2,IF($E$13=2,IF($F$18=5,'Input-Output'!$E$16*0.001102*Calculations!H141*0.4536,0),0),0))</f>
        <v>0</v>
      </c>
      <c r="J141" s="15" t="s">
        <v>187</v>
      </c>
    </row>
    <row r="142" spans="3:10" ht="15">
      <c r="C142" s="11"/>
      <c r="D142" s="31"/>
      <c r="E142" s="31"/>
      <c r="F142" s="31" t="s">
        <v>65</v>
      </c>
      <c r="G142" s="12" t="s">
        <v>66</v>
      </c>
      <c r="H142" s="14">
        <v>0.015</v>
      </c>
      <c r="I142" s="89">
        <f>IF($C$12=3,0,IF($D$13=2,IF($E$13=2,IF($F$18=5,'Input-Output'!$E$16*0.001102*Calculations!H142*0.4536,0),0),0))</f>
        <v>0</v>
      </c>
      <c r="J142" s="15" t="s">
        <v>187</v>
      </c>
    </row>
    <row r="143" spans="3:10" ht="15">
      <c r="C143" s="11"/>
      <c r="D143" s="31"/>
      <c r="E143" s="31"/>
      <c r="F143" s="31" t="s">
        <v>67</v>
      </c>
      <c r="G143" s="12" t="s">
        <v>68</v>
      </c>
      <c r="H143" s="14">
        <v>0.011</v>
      </c>
      <c r="I143" s="89">
        <f>IF($C$12=3,0,IF($D$13=2,IF($E$13=2,IF($F$18=5,'Input-Output'!$E$16*0.001102*Calculations!H143*0.4536,0),0),0))</f>
        <v>0</v>
      </c>
      <c r="J143" s="15" t="s">
        <v>187</v>
      </c>
    </row>
    <row r="144" spans="3:10" ht="15">
      <c r="C144" s="11"/>
      <c r="D144" s="31"/>
      <c r="E144" s="40"/>
      <c r="F144" s="40" t="s">
        <v>69</v>
      </c>
      <c r="G144" s="41" t="s">
        <v>70</v>
      </c>
      <c r="H144" s="42">
        <v>0.015</v>
      </c>
      <c r="I144" s="189">
        <f>IF($C$12=3,0,IF($D$13=2,IF($E$13=2,IF($F$18=5,'Input-Output'!$E$16*0.001102*Calculations!H144*0.4536,0),0),0))</f>
        <v>0</v>
      </c>
      <c r="J144" s="43" t="s">
        <v>187</v>
      </c>
    </row>
    <row r="145" spans="3:10" ht="15">
      <c r="C145" s="11"/>
      <c r="D145" s="31"/>
      <c r="E145" s="31" t="s">
        <v>12</v>
      </c>
      <c r="F145" s="31" t="s">
        <v>8</v>
      </c>
      <c r="G145" s="12" t="s">
        <v>9</v>
      </c>
      <c r="H145" s="14">
        <v>0.4</v>
      </c>
      <c r="I145" s="190">
        <f>IF($C$12=3,0,IF($D$13=2,IF($E$13=2,IF($F$18=6,'Input-Output'!$E$16*0.001102*Calculations!H145*0.4536,0),0),0))</f>
        <v>0</v>
      </c>
      <c r="J145" s="15" t="s">
        <v>187</v>
      </c>
    </row>
    <row r="146" spans="3:10" ht="18">
      <c r="C146" s="11"/>
      <c r="D146" s="31"/>
      <c r="E146" s="31"/>
      <c r="F146" s="31" t="s">
        <v>133</v>
      </c>
      <c r="G146" s="12" t="s">
        <v>9</v>
      </c>
      <c r="H146" s="75">
        <f>H145*0.61</f>
        <v>0.244</v>
      </c>
      <c r="I146" s="89">
        <f>IF($C$12=3,0,IF($D$13=2,IF($E$13=2,IF($F$18=6,'Input-Output'!$E$16*0.001102*Calculations!H146*0.4536,0),0),0))</f>
        <v>0</v>
      </c>
      <c r="J146" s="15" t="s">
        <v>187</v>
      </c>
    </row>
    <row r="147" spans="3:10" ht="18">
      <c r="C147" s="11"/>
      <c r="D147" s="31"/>
      <c r="E147" s="31"/>
      <c r="F147" s="31" t="s">
        <v>132</v>
      </c>
      <c r="G147" s="12" t="s">
        <v>9</v>
      </c>
      <c r="H147" s="75">
        <f>H146*0.79</f>
        <v>0.19276000000000001</v>
      </c>
      <c r="I147" s="89">
        <f>IF($C$12=3,0,IF($D$13=2,IF($E$13=2,IF($F$18=6,'Input-Output'!$E$16*0.001102*Calculations!H147*0.4536,0),0),0))</f>
        <v>0</v>
      </c>
      <c r="J147" s="15" t="s">
        <v>187</v>
      </c>
    </row>
    <row r="148" spans="3:10" ht="15">
      <c r="C148" s="11"/>
      <c r="D148" s="31"/>
      <c r="E148" s="31"/>
      <c r="F148" s="31" t="s">
        <v>18</v>
      </c>
      <c r="G148" s="12" t="s">
        <v>25</v>
      </c>
      <c r="H148" s="14">
        <v>0.78</v>
      </c>
      <c r="I148" s="89">
        <f>IF($C$12=3,0,IF($D$13=2,IF($E$13=2,IF($F$18=6,'Input-Output'!$E$16*0.001102*Calculations!H148*0.4536,0),0),0))</f>
        <v>0</v>
      </c>
      <c r="J148" s="15" t="s">
        <v>187</v>
      </c>
    </row>
    <row r="149" spans="3:10" ht="15">
      <c r="C149" s="11"/>
      <c r="D149" s="31"/>
      <c r="E149" s="31"/>
      <c r="F149" s="31" t="s">
        <v>19</v>
      </c>
      <c r="G149" s="12" t="s">
        <v>20</v>
      </c>
      <c r="H149" s="14">
        <v>1.8</v>
      </c>
      <c r="I149" s="89">
        <f>IF($C$12=3,0,IF($D$13=2,IF($E$13=2,IF($F$18=6,'Input-Output'!$E$16*0.001102*Calculations!H149*0.4536,0),0),0))</f>
        <v>0</v>
      </c>
      <c r="J149" s="15" t="s">
        <v>187</v>
      </c>
    </row>
    <row r="150" spans="3:10" ht="15">
      <c r="C150" s="11"/>
      <c r="D150" s="31"/>
      <c r="E150" s="31"/>
      <c r="F150" s="31" t="s">
        <v>21</v>
      </c>
      <c r="G150" s="12" t="s">
        <v>22</v>
      </c>
      <c r="H150" s="14">
        <v>720</v>
      </c>
      <c r="I150" s="89">
        <f>IF($C$12=3,0,IF($D$13=2,IF($E$13=2,IF($F$18=6,'Input-Output'!$E$16*0.001102*Calculations!H150*0.4536,0),0),0))</f>
        <v>0</v>
      </c>
      <c r="J150" s="15" t="s">
        <v>187</v>
      </c>
    </row>
    <row r="151" spans="3:10" ht="15">
      <c r="C151" s="11"/>
      <c r="D151" s="31"/>
      <c r="E151" s="31"/>
      <c r="F151" s="31" t="s">
        <v>27</v>
      </c>
      <c r="G151" s="12" t="s">
        <v>9</v>
      </c>
      <c r="H151" s="14">
        <v>0.25</v>
      </c>
      <c r="I151" s="89">
        <f>IF($C$12=3,0,IF($D$13=2,IF($E$13=2,IF($F$18=6,'Input-Output'!$E$16*0.001102*Calculations!H151*0.4536,0),0),0))</f>
        <v>0</v>
      </c>
      <c r="J151" s="15" t="s">
        <v>187</v>
      </c>
    </row>
    <row r="152" spans="3:10" ht="15">
      <c r="C152" s="11"/>
      <c r="D152" s="31"/>
      <c r="E152" s="31"/>
      <c r="F152" s="31" t="s">
        <v>28</v>
      </c>
      <c r="G152" s="12" t="s">
        <v>9</v>
      </c>
      <c r="H152" s="14">
        <v>0.32</v>
      </c>
      <c r="I152" s="89">
        <f>IF($C$12=3,0,IF($D$13=2,IF($E$13=2,IF($F$18=6,'Input-Output'!$E$16*0.001102*Calculations!H152*0.4536,0),0),0))</f>
        <v>0</v>
      </c>
      <c r="J152" s="15" t="s">
        <v>188</v>
      </c>
    </row>
    <row r="153" spans="3:10" ht="15">
      <c r="C153" s="11"/>
      <c r="D153" s="31"/>
      <c r="E153" s="31"/>
      <c r="F153" s="31" t="s">
        <v>31</v>
      </c>
      <c r="G153" s="12" t="s">
        <v>32</v>
      </c>
      <c r="H153" s="14">
        <v>0.011</v>
      </c>
      <c r="I153" s="89">
        <f>IF($C$12=3,0,IF($D$13=2,IF($E$13=2,IF($F$18=6,'Input-Output'!$E$16*0.001102*Calculations!H153*0.4536,0),0),0))</f>
        <v>0</v>
      </c>
      <c r="J153" s="15" t="s">
        <v>187</v>
      </c>
    </row>
    <row r="154" spans="3:10" ht="15">
      <c r="C154" s="11"/>
      <c r="D154" s="31"/>
      <c r="E154" s="31"/>
      <c r="F154" s="31" t="s">
        <v>33</v>
      </c>
      <c r="G154" s="12" t="s">
        <v>34</v>
      </c>
      <c r="H154" s="14">
        <v>0.0076</v>
      </c>
      <c r="I154" s="89">
        <f>IF($C$12=3,0,IF($D$13=2,IF($E$13=2,IF($F$18=6,'Input-Output'!$E$16*0.001102*Calculations!H154*0.4536,0),0),0))</f>
        <v>0</v>
      </c>
      <c r="J154" s="15" t="s">
        <v>187</v>
      </c>
    </row>
    <row r="155" spans="3:10" ht="15">
      <c r="C155" s="11"/>
      <c r="D155" s="31"/>
      <c r="E155" s="31"/>
      <c r="F155" s="31" t="s">
        <v>49</v>
      </c>
      <c r="G155" s="12" t="s">
        <v>50</v>
      </c>
      <c r="H155" s="14">
        <v>0.02</v>
      </c>
      <c r="I155" s="89">
        <f>IF($C$12=3,0,IF($D$13=2,IF($E$13=2,IF($F$18=6,'Input-Output'!$E$16*0.001102*Calculations!H155*0.4536,0),0),0))</f>
        <v>0</v>
      </c>
      <c r="J155" s="15" t="s">
        <v>187</v>
      </c>
    </row>
    <row r="156" spans="3:10" ht="15">
      <c r="C156" s="11"/>
      <c r="D156" s="31"/>
      <c r="E156" s="31"/>
      <c r="F156" s="31" t="s">
        <v>53</v>
      </c>
      <c r="G156" s="12" t="s">
        <v>54</v>
      </c>
      <c r="H156" s="14">
        <v>0.0082</v>
      </c>
      <c r="I156" s="89">
        <f>IF($C$12=3,0,IF($D$13=2,IF($E$13=2,IF($F$18=6,'Input-Output'!$E$16*0.001102*Calculations!H156*0.4536,0),0),0))</f>
        <v>0</v>
      </c>
      <c r="J156" s="15" t="s">
        <v>187</v>
      </c>
    </row>
    <row r="157" spans="3:10" ht="15">
      <c r="C157" s="11"/>
      <c r="D157" s="31"/>
      <c r="E157" s="40"/>
      <c r="F157" s="40" t="s">
        <v>65</v>
      </c>
      <c r="G157" s="41" t="s">
        <v>66</v>
      </c>
      <c r="H157" s="42">
        <v>0.021</v>
      </c>
      <c r="I157" s="189">
        <f>IF($C$12=3,0,IF($D$13=2,IF($E$13=2,IF($F$18=6,'Input-Output'!$E$16*0.001102*Calculations!H157*0.4536,0),0),0))</f>
        <v>0</v>
      </c>
      <c r="J157" s="43" t="s">
        <v>187</v>
      </c>
    </row>
    <row r="158" spans="3:10" ht="18">
      <c r="C158" s="11"/>
      <c r="D158" s="31"/>
      <c r="E158" s="31" t="s">
        <v>192</v>
      </c>
      <c r="F158" s="31" t="s">
        <v>8</v>
      </c>
      <c r="G158" s="12" t="s">
        <v>9</v>
      </c>
      <c r="H158" s="14">
        <v>0.149</v>
      </c>
      <c r="I158" s="190">
        <f>IF($C$12=3,0,IF($D$13=2,IF($E$13=2,IF($F$18=7,'Input-Output'!$E$16*0.001102*Calculations!H158*0.4536,0),0),0))</f>
        <v>0</v>
      </c>
      <c r="J158" s="15" t="s">
        <v>188</v>
      </c>
    </row>
    <row r="159" spans="3:10" ht="18">
      <c r="C159" s="11"/>
      <c r="D159" s="31"/>
      <c r="E159" s="31"/>
      <c r="F159" s="31" t="s">
        <v>133</v>
      </c>
      <c r="G159" s="12" t="s">
        <v>9</v>
      </c>
      <c r="H159" s="75">
        <f>H158*0.61</f>
        <v>0.09089</v>
      </c>
      <c r="I159" s="89">
        <f>IF($C$12=3,0,IF($D$13=2,IF($E$13=2,IF($F$18=7,'Input-Output'!$E$16*0.001102*Calculations!H159*0.4536,0),0),0))</f>
        <v>0</v>
      </c>
      <c r="J159" s="15" t="s">
        <v>188</v>
      </c>
    </row>
    <row r="160" spans="3:10" ht="18">
      <c r="C160" s="11"/>
      <c r="D160" s="31"/>
      <c r="E160" s="31"/>
      <c r="F160" s="31" t="s">
        <v>132</v>
      </c>
      <c r="G160" s="12" t="s">
        <v>9</v>
      </c>
      <c r="H160" s="75">
        <f>H159*0.79</f>
        <v>0.07180310000000001</v>
      </c>
      <c r="I160" s="89">
        <f>IF($C$12=3,0,IF($D$13=2,IF($E$13=2,IF($F$18=7,'Input-Output'!$E$16*0.001102*Calculations!H160*0.4536,0),0),0))</f>
        <v>0</v>
      </c>
      <c r="J160" s="15" t="s">
        <v>188</v>
      </c>
    </row>
    <row r="161" spans="3:10" ht="15">
      <c r="C161" s="11"/>
      <c r="D161" s="31"/>
      <c r="E161" s="31"/>
      <c r="F161" s="31" t="s">
        <v>18</v>
      </c>
      <c r="G161" s="12" t="s">
        <v>25</v>
      </c>
      <c r="H161" s="14">
        <v>0.78</v>
      </c>
      <c r="I161" s="89">
        <f>IF($C$12=3,0,IF($D$13=2,IF($E$13=2,IF($F$18=7,'Input-Output'!$E$16*0.001102*Calculations!H161*0.4536,0),0),0))</f>
        <v>0</v>
      </c>
      <c r="J161" s="15" t="s">
        <v>187</v>
      </c>
    </row>
    <row r="162" spans="3:10" ht="15">
      <c r="C162" s="11"/>
      <c r="D162" s="31"/>
      <c r="E162" s="31"/>
      <c r="F162" s="31" t="s">
        <v>19</v>
      </c>
      <c r="G162" s="12" t="s">
        <v>20</v>
      </c>
      <c r="H162" s="14">
        <v>1.8</v>
      </c>
      <c r="I162" s="89">
        <f>IF($C$12=3,0,IF($D$13=2,IF($E$13=2,IF($F$18=7,'Input-Output'!$E$16*0.001102*Calculations!H162*0.4536,0),0),0))</f>
        <v>0</v>
      </c>
      <c r="J162" s="15" t="s">
        <v>187</v>
      </c>
    </row>
    <row r="163" spans="3:10" ht="15">
      <c r="C163" s="11"/>
      <c r="D163" s="31"/>
      <c r="E163" s="31"/>
      <c r="F163" s="31" t="s">
        <v>21</v>
      </c>
      <c r="G163" s="12" t="s">
        <v>22</v>
      </c>
      <c r="H163" s="14">
        <v>720</v>
      </c>
      <c r="I163" s="89">
        <f>IF($C$12=3,0,IF($D$13=2,IF($E$13=2,IF($F$18=7,'Input-Output'!$E$16*0.001102*Calculations!H163*0.4536,0),0),0))</f>
        <v>0</v>
      </c>
      <c r="J163" s="15" t="s">
        <v>187</v>
      </c>
    </row>
    <row r="164" spans="3:10" ht="15">
      <c r="C164" s="11"/>
      <c r="D164" s="31"/>
      <c r="E164" s="31"/>
      <c r="F164" s="31" t="s">
        <v>27</v>
      </c>
      <c r="G164" s="12" t="s">
        <v>9</v>
      </c>
      <c r="H164" s="14">
        <v>0.25</v>
      </c>
      <c r="I164" s="89">
        <f>IF($C$12=3,0,IF($D$13=2,IF($E$13=2,IF($F$18=7,'Input-Output'!$E$16*0.001102*Calculations!H164*0.4536,0),0),0))</f>
        <v>0</v>
      </c>
      <c r="J164" s="15" t="s">
        <v>187</v>
      </c>
    </row>
    <row r="165" spans="3:10" ht="15">
      <c r="C165" s="11"/>
      <c r="D165" s="31"/>
      <c r="E165" s="31"/>
      <c r="F165" s="31" t="s">
        <v>28</v>
      </c>
      <c r="G165" s="12" t="s">
        <v>9</v>
      </c>
      <c r="H165" s="14">
        <v>0.32</v>
      </c>
      <c r="I165" s="89">
        <f>IF($C$12=3,0,IF($D$13=2,IF($E$13=2,IF($F$18=7,'Input-Output'!$E$16*0.001102*Calculations!H165*0.4536,0),0),0))</f>
        <v>0</v>
      </c>
      <c r="J165" s="15" t="s">
        <v>188</v>
      </c>
    </row>
    <row r="166" spans="3:10" ht="15">
      <c r="C166" s="11"/>
      <c r="D166" s="31"/>
      <c r="E166" s="31"/>
      <c r="F166" s="31" t="s">
        <v>31</v>
      </c>
      <c r="G166" s="12" t="s">
        <v>32</v>
      </c>
      <c r="H166" s="14">
        <v>0.011</v>
      </c>
      <c r="I166" s="89">
        <f>IF($C$12=3,0,IF($D$13=2,IF($E$13=2,IF($F$18=7,'Input-Output'!$E$16*0.001102*Calculations!H166*0.4536,0),0),0))</f>
        <v>0</v>
      </c>
      <c r="J166" s="15" t="s">
        <v>187</v>
      </c>
    </row>
    <row r="167" spans="3:10" ht="15">
      <c r="C167" s="11"/>
      <c r="D167" s="31"/>
      <c r="E167" s="31"/>
      <c r="F167" s="31" t="s">
        <v>33</v>
      </c>
      <c r="G167" s="12" t="s">
        <v>34</v>
      </c>
      <c r="H167" s="14">
        <v>0.0076</v>
      </c>
      <c r="I167" s="89">
        <f>IF($C$12=3,0,IF($D$13=2,IF($E$13=2,IF($F$18=7,'Input-Output'!$E$16*0.001102*Calculations!H167*0.4536,0),0),0))</f>
        <v>0</v>
      </c>
      <c r="J167" s="15" t="s">
        <v>187</v>
      </c>
    </row>
    <row r="168" spans="3:10" ht="15">
      <c r="C168" s="11"/>
      <c r="D168" s="31"/>
      <c r="E168" s="31"/>
      <c r="F168" s="31" t="s">
        <v>49</v>
      </c>
      <c r="G168" s="12" t="s">
        <v>50</v>
      </c>
      <c r="H168" s="14">
        <v>0.02</v>
      </c>
      <c r="I168" s="89">
        <f>IF($C$12=3,0,IF($D$13=2,IF($E$13=2,IF($F$18=7,'Input-Output'!$E$16*0.001102*Calculations!H168*0.4536,0),0),0))</f>
        <v>0</v>
      </c>
      <c r="J168" s="15" t="s">
        <v>187</v>
      </c>
    </row>
    <row r="169" spans="3:10" ht="15">
      <c r="C169" s="11"/>
      <c r="D169" s="31"/>
      <c r="E169" s="31"/>
      <c r="F169" s="31" t="s">
        <v>53</v>
      </c>
      <c r="G169" s="12" t="s">
        <v>54</v>
      </c>
      <c r="H169" s="14">
        <v>0.0082</v>
      </c>
      <c r="I169" s="89">
        <f>IF($C$12=3,0,IF($D$13=2,IF($E$13=2,IF($F$18=7,'Input-Output'!$E$16*0.001102*Calculations!H169*0.4536,0),0),0))</f>
        <v>0</v>
      </c>
      <c r="J169" s="15" t="s">
        <v>187</v>
      </c>
    </row>
    <row r="170" spans="3:10" ht="15">
      <c r="C170" s="11"/>
      <c r="D170" s="31"/>
      <c r="E170" s="40"/>
      <c r="F170" s="40" t="s">
        <v>65</v>
      </c>
      <c r="G170" s="41" t="s">
        <v>66</v>
      </c>
      <c r="H170" s="42">
        <v>0.021</v>
      </c>
      <c r="I170" s="189">
        <f>IF($C$12=3,0,IF($D$13=2,IF($E$13=2,IF($F$18=7,'Input-Output'!$E$16*0.001102*Calculations!H170*0.4536,0),0),0))</f>
        <v>0</v>
      </c>
      <c r="J170" s="43" t="s">
        <v>187</v>
      </c>
    </row>
    <row r="171" spans="3:10" ht="18">
      <c r="C171" s="11"/>
      <c r="D171" s="31"/>
      <c r="E171" s="31" t="s">
        <v>193</v>
      </c>
      <c r="F171" s="31" t="s">
        <v>191</v>
      </c>
      <c r="G171" s="12" t="s">
        <v>9</v>
      </c>
      <c r="H171" s="76">
        <f>5.6*0.51/6.1</f>
        <v>0.46819672131147544</v>
      </c>
      <c r="I171" s="190">
        <f>IF($C$12=3,0,IF($D$13=2,IF($E$13=2,IF($F$18=8,'Input-Output'!$E$16*0.001102*Calculations!H171*0.4536,0),0),0))</f>
        <v>0</v>
      </c>
      <c r="J171" s="15" t="s">
        <v>188</v>
      </c>
    </row>
    <row r="172" spans="3:10" ht="18">
      <c r="C172" s="11"/>
      <c r="D172" s="31"/>
      <c r="E172" s="31"/>
      <c r="F172" s="31" t="s">
        <v>133</v>
      </c>
      <c r="G172" s="12" t="s">
        <v>9</v>
      </c>
      <c r="H172" s="75">
        <f>H171*0.61</f>
        <v>0.2856</v>
      </c>
      <c r="I172" s="89">
        <f>IF($C$12=3,0,IF($D$13=2,IF($E$13=2,IF($F$18=8,'Input-Output'!$E$16*0.001102*Calculations!H172*0.4536,0),0),0))</f>
        <v>0</v>
      </c>
      <c r="J172" s="15" t="s">
        <v>188</v>
      </c>
    </row>
    <row r="173" spans="3:10" ht="18">
      <c r="C173" s="11"/>
      <c r="D173" s="31"/>
      <c r="E173" s="31"/>
      <c r="F173" s="31" t="s">
        <v>132</v>
      </c>
      <c r="G173" s="12" t="s">
        <v>9</v>
      </c>
      <c r="H173" s="75">
        <f>H172*0.79</f>
        <v>0.22562400000000002</v>
      </c>
      <c r="I173" s="13">
        <f>IF($C$12=3,0,IF($D$13=2,IF($E$13=2,IF($F$18=8,'Input-Output'!$E$16*0.001102*Calculations!H173*0.4536,0),0),0))</f>
        <v>0</v>
      </c>
      <c r="J173" s="15" t="s">
        <v>188</v>
      </c>
    </row>
    <row r="174" spans="3:10" ht="15">
      <c r="C174" s="11"/>
      <c r="D174" s="31"/>
      <c r="E174" s="31"/>
      <c r="F174" s="31" t="s">
        <v>18</v>
      </c>
      <c r="G174" s="12" t="s">
        <v>25</v>
      </c>
      <c r="H174" s="14">
        <v>0.78</v>
      </c>
      <c r="I174" s="13">
        <f>IF($C$12=3,0,IF($D$13=2,IF($E$13=2,IF($F$18=8,'Input-Output'!$E$16*0.001102*Calculations!H174*0.4536,0),0),0))</f>
        <v>0</v>
      </c>
      <c r="J174" s="15" t="s">
        <v>187</v>
      </c>
    </row>
    <row r="175" spans="3:10" ht="15">
      <c r="C175" s="11"/>
      <c r="D175" s="31"/>
      <c r="E175" s="31"/>
      <c r="F175" s="31" t="s">
        <v>19</v>
      </c>
      <c r="G175" s="12" t="s">
        <v>20</v>
      </c>
      <c r="H175" s="14">
        <v>1.8</v>
      </c>
      <c r="I175" s="13">
        <f>IF($C$12=3,0,IF($D$13=2,IF($E$13=2,IF($F$18=8,'Input-Output'!$E$16*0.001102*Calculations!H175*0.4536,0),0),0))</f>
        <v>0</v>
      </c>
      <c r="J175" s="15" t="s">
        <v>187</v>
      </c>
    </row>
    <row r="176" spans="3:10" ht="15">
      <c r="C176" s="11"/>
      <c r="D176" s="31"/>
      <c r="E176" s="31"/>
      <c r="F176" s="31" t="s">
        <v>21</v>
      </c>
      <c r="G176" s="12" t="s">
        <v>22</v>
      </c>
      <c r="H176" s="14">
        <v>720</v>
      </c>
      <c r="I176" s="13">
        <f>IF($C$12=3,0,IF($D$13=2,IF($E$13=2,IF($F$18=8,'Input-Output'!$E$16*0.001102*Calculations!H176*0.4536,0),0),0))</f>
        <v>0</v>
      </c>
      <c r="J176" s="15" t="s">
        <v>187</v>
      </c>
    </row>
    <row r="177" spans="3:10" ht="15">
      <c r="C177" s="11"/>
      <c r="D177" s="31"/>
      <c r="E177" s="31"/>
      <c r="F177" s="31" t="s">
        <v>27</v>
      </c>
      <c r="G177" s="12" t="s">
        <v>9</v>
      </c>
      <c r="H177" s="14">
        <v>0.25</v>
      </c>
      <c r="I177" s="13">
        <f>IF($C$12=3,0,IF($D$13=2,IF($E$13=2,IF($F$18=8,'Input-Output'!$E$16*0.001102*Calculations!H177*0.4536,0),0),0))</f>
        <v>0</v>
      </c>
      <c r="J177" s="15" t="s">
        <v>187</v>
      </c>
    </row>
    <row r="178" spans="3:10" ht="15">
      <c r="C178" s="11"/>
      <c r="D178" s="31"/>
      <c r="E178" s="31"/>
      <c r="F178" s="31" t="s">
        <v>28</v>
      </c>
      <c r="G178" s="12" t="s">
        <v>9</v>
      </c>
      <c r="H178" s="14">
        <v>0.32</v>
      </c>
      <c r="I178" s="13">
        <f>IF($C$12=3,0,IF($D$13=2,IF($E$13=2,IF($F$18=8,'Input-Output'!$E$16*0.001102*Calculations!H178*0.4536,0),0),0))</f>
        <v>0</v>
      </c>
      <c r="J178" s="15" t="s">
        <v>188</v>
      </c>
    </row>
    <row r="179" spans="3:10" ht="15">
      <c r="C179" s="11"/>
      <c r="D179" s="31"/>
      <c r="E179" s="31"/>
      <c r="F179" s="31" t="s">
        <v>31</v>
      </c>
      <c r="G179" s="12" t="s">
        <v>32</v>
      </c>
      <c r="H179" s="14">
        <v>0.011</v>
      </c>
      <c r="I179" s="13">
        <f>IF($C$12=3,0,IF($D$13=2,IF($E$13=2,IF($F$18=8,'Input-Output'!$E$16*0.001102*Calculations!H179*0.4536,0),0),0))</f>
        <v>0</v>
      </c>
      <c r="J179" s="15" t="s">
        <v>187</v>
      </c>
    </row>
    <row r="180" spans="3:10" ht="15">
      <c r="C180" s="11"/>
      <c r="D180" s="31"/>
      <c r="E180" s="31"/>
      <c r="F180" s="31" t="s">
        <v>33</v>
      </c>
      <c r="G180" s="12" t="s">
        <v>34</v>
      </c>
      <c r="H180" s="14">
        <v>0.0076</v>
      </c>
      <c r="I180" s="13">
        <f>IF($C$12=3,0,IF($D$13=2,IF($E$13=2,IF($F$18=8,'Input-Output'!$E$16*0.001102*Calculations!H180*0.4536,0),0),0))</f>
        <v>0</v>
      </c>
      <c r="J180" s="15" t="s">
        <v>187</v>
      </c>
    </row>
    <row r="181" spans="3:10" ht="15">
      <c r="C181" s="11"/>
      <c r="D181" s="31"/>
      <c r="E181" s="31"/>
      <c r="F181" s="31" t="s">
        <v>49</v>
      </c>
      <c r="G181" s="12" t="s">
        <v>50</v>
      </c>
      <c r="H181" s="14">
        <v>0.02</v>
      </c>
      <c r="I181" s="13">
        <f>IF($C$12=3,0,IF($D$13=2,IF($E$13=2,IF($F$18=8,'Input-Output'!$E$16*0.001102*Calculations!H181*0.4536,0),0),0))</f>
        <v>0</v>
      </c>
      <c r="J181" s="15" t="s">
        <v>187</v>
      </c>
    </row>
    <row r="182" spans="3:10" ht="15">
      <c r="C182" s="11"/>
      <c r="D182" s="31"/>
      <c r="E182" s="31"/>
      <c r="F182" s="31" t="s">
        <v>53</v>
      </c>
      <c r="G182" s="12" t="s">
        <v>54</v>
      </c>
      <c r="H182" s="14">
        <v>0.0082</v>
      </c>
      <c r="I182" s="13">
        <f>IF($C$12=3,0,IF($D$13=2,IF($E$13=2,IF($F$18=8,'Input-Output'!$E$16*0.001102*Calculations!H182*0.4536,0),0),0))</f>
        <v>0</v>
      </c>
      <c r="J182" s="15" t="s">
        <v>187</v>
      </c>
    </row>
    <row r="183" spans="3:10" ht="15">
      <c r="C183" s="11"/>
      <c r="D183" s="31"/>
      <c r="E183" s="40"/>
      <c r="F183" s="40" t="s">
        <v>65</v>
      </c>
      <c r="G183" s="41" t="s">
        <v>66</v>
      </c>
      <c r="H183" s="42">
        <v>0.021</v>
      </c>
      <c r="I183" s="85">
        <f>IF($C$12=3,0,IF($D$13=2,IF($E$13=2,IF($F$18=8,'Input-Output'!$E$16*0.001102*Calculations!H183*0.4536,0),0),0))</f>
        <v>0</v>
      </c>
      <c r="J183" s="43" t="s">
        <v>187</v>
      </c>
    </row>
    <row r="184" spans="3:10" ht="18">
      <c r="C184" s="11"/>
      <c r="D184" s="31"/>
      <c r="E184" s="31" t="s">
        <v>194</v>
      </c>
      <c r="F184" s="31" t="s">
        <v>195</v>
      </c>
      <c r="G184" s="12" t="s">
        <v>9</v>
      </c>
      <c r="H184" s="76">
        <f>5.6*1.3/5.8</f>
        <v>1.2551724137931033</v>
      </c>
      <c r="I184" s="87">
        <f>IF($C$12=3,0,IF($D$13=2,IF($E$13=2,IF($F$18=9,'Input-Output'!$E$16*0.001102*Calculations!H184*0.4536,0),0),0))</f>
        <v>0</v>
      </c>
      <c r="J184" s="15" t="s">
        <v>188</v>
      </c>
    </row>
    <row r="185" spans="3:10" ht="18">
      <c r="C185" s="11"/>
      <c r="D185" s="31"/>
      <c r="E185" s="31"/>
      <c r="F185" s="31" t="s">
        <v>133</v>
      </c>
      <c r="G185" s="12" t="s">
        <v>9</v>
      </c>
      <c r="H185" s="75">
        <f>H184*0.61</f>
        <v>0.765655172413793</v>
      </c>
      <c r="I185" s="13">
        <f>IF($C$12=3,0,IF($D$13=2,IF($E$13=2,IF($F$18=9,'Input-Output'!$E$16*0.001102*Calculations!H185*0.4536,0),0),0))</f>
        <v>0</v>
      </c>
      <c r="J185" s="15" t="s">
        <v>188</v>
      </c>
    </row>
    <row r="186" spans="3:10" ht="18">
      <c r="C186" s="11"/>
      <c r="D186" s="31"/>
      <c r="E186" s="31"/>
      <c r="F186" s="31" t="s">
        <v>132</v>
      </c>
      <c r="G186" s="12" t="s">
        <v>9</v>
      </c>
      <c r="H186" s="75">
        <f>H185*0.79</f>
        <v>0.6048675862068965</v>
      </c>
      <c r="I186" s="13">
        <f>IF($C$12=3,0,IF($D$13=2,IF($E$13=2,IF($F$18=9,'Input-Output'!$E$16*0.001102*Calculations!H186*0.4536,0),0),0))</f>
        <v>0</v>
      </c>
      <c r="J186" s="15" t="s">
        <v>188</v>
      </c>
    </row>
    <row r="187" spans="3:10" ht="15">
      <c r="C187" s="11"/>
      <c r="D187" s="31"/>
      <c r="E187" s="31"/>
      <c r="F187" s="31" t="s">
        <v>18</v>
      </c>
      <c r="G187" s="12" t="s">
        <v>25</v>
      </c>
      <c r="H187" s="14">
        <v>0.78</v>
      </c>
      <c r="I187" s="13">
        <f>IF($C$12=3,0,IF($D$13=2,IF($E$13=2,IF($F$18=9,'Input-Output'!$E$16*0.001102*Calculations!H187*0.4536,0),0),0))</f>
        <v>0</v>
      </c>
      <c r="J187" s="15" t="s">
        <v>187</v>
      </c>
    </row>
    <row r="188" spans="3:10" ht="15">
      <c r="C188" s="11"/>
      <c r="D188" s="31"/>
      <c r="E188" s="31"/>
      <c r="F188" s="31" t="s">
        <v>19</v>
      </c>
      <c r="G188" s="12" t="s">
        <v>20</v>
      </c>
      <c r="H188" s="14">
        <v>1.8</v>
      </c>
      <c r="I188" s="13">
        <f>IF($C$12=3,0,IF($D$13=2,IF($E$13=2,IF($F$18=9,'Input-Output'!$E$16*0.001102*Calculations!H188*0.4536,0),0),0))</f>
        <v>0</v>
      </c>
      <c r="J188" s="15" t="s">
        <v>187</v>
      </c>
    </row>
    <row r="189" spans="3:10" ht="15">
      <c r="C189" s="11"/>
      <c r="D189" s="31"/>
      <c r="E189" s="31"/>
      <c r="F189" s="31" t="s">
        <v>21</v>
      </c>
      <c r="G189" s="12" t="s">
        <v>22</v>
      </c>
      <c r="H189" s="14">
        <v>720</v>
      </c>
      <c r="I189" s="13">
        <f>IF($C$12=3,0,IF($D$13=2,IF($E$13=2,IF($F$18=9,'Input-Output'!$E$16*0.001102*Calculations!H189*0.4536,0),0),0))</f>
        <v>0</v>
      </c>
      <c r="J189" s="15" t="s">
        <v>187</v>
      </c>
    </row>
    <row r="190" spans="3:10" ht="15">
      <c r="C190" s="11"/>
      <c r="D190" s="31"/>
      <c r="E190" s="31"/>
      <c r="F190" s="31" t="s">
        <v>27</v>
      </c>
      <c r="G190" s="12" t="s">
        <v>9</v>
      </c>
      <c r="H190" s="14">
        <v>0.25</v>
      </c>
      <c r="I190" s="13">
        <f>IF($C$12=3,0,IF($D$13=2,IF($E$13=2,IF($F$18=9,'Input-Output'!$E$16*0.001102*Calculations!H190*0.4536,0),0),0))</f>
        <v>0</v>
      </c>
      <c r="J190" s="15" t="s">
        <v>187</v>
      </c>
    </row>
    <row r="191" spans="3:10" ht="15">
      <c r="C191" s="11"/>
      <c r="D191" s="31"/>
      <c r="E191" s="31"/>
      <c r="F191" s="31" t="s">
        <v>28</v>
      </c>
      <c r="G191" s="12" t="s">
        <v>9</v>
      </c>
      <c r="H191" s="14">
        <v>0.32</v>
      </c>
      <c r="I191" s="13">
        <f>IF($C$12=3,0,IF($D$13=2,IF($E$13=2,IF($F$18=9,'Input-Output'!$E$16*0.001102*Calculations!H191*0.4536,0),0),0))</f>
        <v>0</v>
      </c>
      <c r="J191" s="15" t="s">
        <v>188</v>
      </c>
    </row>
    <row r="192" spans="3:10" ht="15">
      <c r="C192" s="11"/>
      <c r="D192" s="31"/>
      <c r="E192" s="31"/>
      <c r="F192" s="31" t="s">
        <v>31</v>
      </c>
      <c r="G192" s="12" t="s">
        <v>32</v>
      </c>
      <c r="H192" s="14">
        <v>0.011</v>
      </c>
      <c r="I192" s="13">
        <f>IF($C$12=3,0,IF($D$13=2,IF($E$13=2,IF($F$18=9,'Input-Output'!$E$16*0.001102*Calculations!H192*0.4536,0),0),0))</f>
        <v>0</v>
      </c>
      <c r="J192" s="15" t="s">
        <v>187</v>
      </c>
    </row>
    <row r="193" spans="3:10" ht="15">
      <c r="C193" s="11"/>
      <c r="D193" s="31"/>
      <c r="E193" s="31"/>
      <c r="F193" s="31" t="s">
        <v>33</v>
      </c>
      <c r="G193" s="12" t="s">
        <v>34</v>
      </c>
      <c r="H193" s="14">
        <v>0.0076</v>
      </c>
      <c r="I193" s="13">
        <f>IF($C$12=3,0,IF($D$13=2,IF($E$13=2,IF($F$18=9,'Input-Output'!$E$16*0.001102*Calculations!H193*0.4536,0),0),0))</f>
        <v>0</v>
      </c>
      <c r="J193" s="15" t="s">
        <v>187</v>
      </c>
    </row>
    <row r="194" spans="3:10" ht="15">
      <c r="C194" s="11"/>
      <c r="D194" s="31"/>
      <c r="E194" s="31"/>
      <c r="F194" s="31" t="s">
        <v>49</v>
      </c>
      <c r="G194" s="12" t="s">
        <v>50</v>
      </c>
      <c r="H194" s="14">
        <v>0.02</v>
      </c>
      <c r="I194" s="13">
        <f>IF($C$12=3,0,IF($D$13=2,IF($E$13=2,IF($F$18=9,'Input-Output'!$E$16*0.001102*Calculations!H194*0.4536,0),0),0))</f>
        <v>0</v>
      </c>
      <c r="J194" s="15" t="s">
        <v>187</v>
      </c>
    </row>
    <row r="195" spans="3:10" ht="15">
      <c r="C195" s="11"/>
      <c r="D195" s="31"/>
      <c r="E195" s="31"/>
      <c r="F195" s="31" t="s">
        <v>53</v>
      </c>
      <c r="G195" s="12" t="s">
        <v>54</v>
      </c>
      <c r="H195" s="14">
        <v>0.0082</v>
      </c>
      <c r="I195" s="13">
        <f>IF($C$12=3,0,IF($D$13=2,IF($E$13=2,IF($F$18=9,'Input-Output'!$E$16*0.001102*Calculations!H195*0.4536,0),0),0))</f>
        <v>0</v>
      </c>
      <c r="J195" s="15" t="s">
        <v>187</v>
      </c>
    </row>
    <row r="196" spans="3:10" ht="15">
      <c r="C196" s="48"/>
      <c r="D196" s="40"/>
      <c r="E196" s="40"/>
      <c r="F196" s="40" t="s">
        <v>65</v>
      </c>
      <c r="G196" s="41" t="s">
        <v>66</v>
      </c>
      <c r="H196" s="42">
        <v>0.021</v>
      </c>
      <c r="I196" s="85">
        <f>IF($C$12=3,0,IF($D$13=2,IF($E$13=2,IF($F$18=9,'Input-Output'!$E$16*0.001102*Calculations!H196*0.4536,0),0),0))</f>
        <v>0</v>
      </c>
      <c r="J196" s="43" t="s">
        <v>187</v>
      </c>
    </row>
    <row r="197" spans="3:10" ht="15">
      <c r="C197" s="11" t="s">
        <v>5</v>
      </c>
      <c r="D197" s="31" t="s">
        <v>14</v>
      </c>
      <c r="E197" s="31" t="s">
        <v>7</v>
      </c>
      <c r="F197" s="31" t="s">
        <v>8</v>
      </c>
      <c r="G197" s="12" t="s">
        <v>9</v>
      </c>
      <c r="H197" s="14">
        <v>6.1</v>
      </c>
      <c r="I197" s="190">
        <f>IF($C$12=3,0,IF($D$13=2,IF($E$13=3,IF($F$18=2,'Input-Output'!$E$16*0.001102*Calculations!H197*0.4536,0),0),0))</f>
        <v>0</v>
      </c>
      <c r="J197" s="15" t="s">
        <v>187</v>
      </c>
    </row>
    <row r="198" spans="3:10" ht="18">
      <c r="C198" s="11"/>
      <c r="D198" s="31"/>
      <c r="E198" s="31"/>
      <c r="F198" s="31" t="s">
        <v>133</v>
      </c>
      <c r="G198" s="12" t="s">
        <v>9</v>
      </c>
      <c r="H198" s="76">
        <f>H197*0.61</f>
        <v>3.7209999999999996</v>
      </c>
      <c r="I198" s="89">
        <f>IF($C$12=3,0,IF($D$13=2,IF($E$13=3,IF($F$18=2,'Input-Output'!$E$16*0.001102*Calculations!H198*0.4536,0),0),0))</f>
        <v>0</v>
      </c>
      <c r="J198" s="15" t="s">
        <v>187</v>
      </c>
    </row>
    <row r="199" spans="3:10" ht="18">
      <c r="C199" s="11"/>
      <c r="D199" s="31"/>
      <c r="E199" s="31"/>
      <c r="F199" s="31" t="s">
        <v>132</v>
      </c>
      <c r="G199" s="12" t="s">
        <v>9</v>
      </c>
      <c r="H199" s="76">
        <f>H198*0.79</f>
        <v>2.93959</v>
      </c>
      <c r="I199" s="89">
        <f>IF($C$12=3,0,IF($D$13=2,IF($E$13=3,IF($F$18=2,'Input-Output'!$E$16*0.001102*Calculations!H199*0.4536,0),0),0))</f>
        <v>0</v>
      </c>
      <c r="J199" s="15" t="s">
        <v>187</v>
      </c>
    </row>
    <row r="200" spans="3:10" ht="15">
      <c r="C200" s="11"/>
      <c r="D200" s="31"/>
      <c r="E200" s="31"/>
      <c r="F200" s="31" t="s">
        <v>18</v>
      </c>
      <c r="G200" s="12" t="s">
        <v>25</v>
      </c>
      <c r="H200" s="14">
        <v>0.63</v>
      </c>
      <c r="I200" s="89">
        <f>IF($C$12=3,0,IF($D$13=2,IF($E$13=3,IF($F$18=2,'Input-Output'!$E$16*0.001102*Calculations!H200*0.4536,0),0),0))</f>
        <v>0</v>
      </c>
      <c r="J200" s="15" t="s">
        <v>189</v>
      </c>
    </row>
    <row r="201" spans="3:10" ht="15">
      <c r="C201" s="11"/>
      <c r="D201" s="31"/>
      <c r="E201" s="31"/>
      <c r="F201" s="31" t="s">
        <v>19</v>
      </c>
      <c r="G201" s="12" t="s">
        <v>20</v>
      </c>
      <c r="H201" s="14">
        <v>5.5</v>
      </c>
      <c r="I201" s="89">
        <f>IF($C$12=3,0,IF($D$13=2,IF($E$13=3,IF($F$18=2,'Input-Output'!$E$16*0.001102*Calculations!H201*0.4536,0),0),0))</f>
        <v>0</v>
      </c>
      <c r="J201" s="15" t="s">
        <v>189</v>
      </c>
    </row>
    <row r="202" spans="3:10" ht="15">
      <c r="C202" s="11"/>
      <c r="D202" s="31"/>
      <c r="E202" s="31"/>
      <c r="F202" s="31" t="s">
        <v>21</v>
      </c>
      <c r="G202" s="12" t="s">
        <v>22</v>
      </c>
      <c r="H202" s="14">
        <v>680</v>
      </c>
      <c r="I202" s="89">
        <f>IF($C$12=3,0,IF($D$13=2,IF($E$13=3,IF($F$18=2,'Input-Output'!$E$16*0.001102*Calculations!H202*0.4536,0),0),0))</f>
        <v>0</v>
      </c>
      <c r="J202" s="15" t="s">
        <v>189</v>
      </c>
    </row>
    <row r="203" spans="3:10" ht="15">
      <c r="C203" s="11"/>
      <c r="D203" s="31"/>
      <c r="E203" s="31"/>
      <c r="F203" s="31" t="s">
        <v>27</v>
      </c>
      <c r="G203" s="12" t="s">
        <v>9</v>
      </c>
      <c r="H203" s="14">
        <v>1.7</v>
      </c>
      <c r="I203" s="89">
        <f>IF($C$12=3,0,IF($D$13=2,IF($E$13=3,IF($F$18=2,'Input-Output'!$E$16*0.001102*Calculations!H203*0.4536,0),0),0))</f>
        <v>0</v>
      </c>
      <c r="J203" s="15" t="s">
        <v>189</v>
      </c>
    </row>
    <row r="204" spans="3:10" ht="15">
      <c r="C204" s="11"/>
      <c r="D204" s="31"/>
      <c r="E204" s="31"/>
      <c r="F204" s="31" t="s">
        <v>28</v>
      </c>
      <c r="G204" s="12" t="s">
        <v>9</v>
      </c>
      <c r="H204" s="14">
        <v>2.1</v>
      </c>
      <c r="I204" s="89">
        <f>IF($C$12=3,0,IF($D$13=2,IF($E$13=3,IF($F$18=2,'Input-Output'!$E$16*0.001102*Calculations!H204*0.4536,0),0),0))</f>
        <v>0</v>
      </c>
      <c r="J204" s="15" t="s">
        <v>186</v>
      </c>
    </row>
    <row r="205" spans="3:10" ht="15">
      <c r="C205" s="11"/>
      <c r="D205" s="31"/>
      <c r="E205" s="31"/>
      <c r="F205" s="31" t="s">
        <v>31</v>
      </c>
      <c r="G205" s="12" t="s">
        <v>32</v>
      </c>
      <c r="H205" s="14">
        <v>0.62</v>
      </c>
      <c r="I205" s="89">
        <f>IF($C$12=3,0,IF($D$13=2,IF($E$13=3,IF($F$18=2,'Input-Output'!$E$16*0.001102*Calculations!H205*0.4536,0),0),0))</f>
        <v>0</v>
      </c>
      <c r="J205" s="15" t="s">
        <v>188</v>
      </c>
    </row>
    <row r="206" spans="3:10" ht="15">
      <c r="C206" s="11"/>
      <c r="D206" s="31"/>
      <c r="E206" s="31"/>
      <c r="F206" s="31" t="s">
        <v>33</v>
      </c>
      <c r="G206" s="12" t="s">
        <v>34</v>
      </c>
      <c r="H206" s="14">
        <v>0.041</v>
      </c>
      <c r="I206" s="89">
        <f>IF($C$12=3,0,IF($D$13=2,IF($E$13=3,IF($F$18=2,'Input-Output'!$E$16*0.001102*Calculations!H206*0.4536,0),0),0))</f>
        <v>0</v>
      </c>
      <c r="J206" s="15" t="s">
        <v>188</v>
      </c>
    </row>
    <row r="207" spans="3:10" ht="15">
      <c r="C207" s="11"/>
      <c r="D207" s="31"/>
      <c r="E207" s="31"/>
      <c r="F207" s="31" t="s">
        <v>35</v>
      </c>
      <c r="G207" s="12" t="s">
        <v>36</v>
      </c>
      <c r="H207" s="14">
        <v>0.2</v>
      </c>
      <c r="I207" s="89">
        <f>IF($C$12=3,0,IF($D$13=2,IF($E$13=3,IF($F$18=2,'Input-Output'!$E$16*0.001102*Calculations!H207*0.4536,0),0),0))</f>
        <v>0</v>
      </c>
      <c r="J207" s="15" t="s">
        <v>188</v>
      </c>
    </row>
    <row r="208" spans="3:10" ht="15">
      <c r="C208" s="11"/>
      <c r="D208" s="31"/>
      <c r="E208" s="31"/>
      <c r="F208" s="31" t="s">
        <v>39</v>
      </c>
      <c r="G208" s="12" t="s">
        <v>40</v>
      </c>
      <c r="H208" s="14">
        <v>0.01</v>
      </c>
      <c r="I208" s="89">
        <f>IF($C$12=3,0,IF($D$13=2,IF($E$13=3,IF($F$18=2,'Input-Output'!$E$16*0.001102*Calculations!H208*0.4536,0),0),0))</f>
        <v>0</v>
      </c>
      <c r="J208" s="15" t="s">
        <v>187</v>
      </c>
    </row>
    <row r="209" spans="3:10" ht="15">
      <c r="C209" s="11"/>
      <c r="D209" s="31"/>
      <c r="E209" s="31"/>
      <c r="F209" s="31" t="s">
        <v>49</v>
      </c>
      <c r="G209" s="12" t="s">
        <v>50</v>
      </c>
      <c r="H209" s="14">
        <v>0.11</v>
      </c>
      <c r="I209" s="89">
        <f>IF($C$12=3,0,IF($D$13=2,IF($E$13=3,IF($F$18=2,'Input-Output'!$E$16*0.001102*Calculations!H209*0.4536,0),0),0))</f>
        <v>0</v>
      </c>
      <c r="J209" s="15" t="s">
        <v>189</v>
      </c>
    </row>
    <row r="210" spans="3:10" ht="15">
      <c r="C210" s="11"/>
      <c r="D210" s="31"/>
      <c r="E210" s="31"/>
      <c r="F210" s="31" t="s">
        <v>53</v>
      </c>
      <c r="G210" s="12" t="s">
        <v>54</v>
      </c>
      <c r="H210" s="14">
        <v>0.33</v>
      </c>
      <c r="I210" s="89">
        <f>IF($C$12=3,0,IF($D$13=2,IF($E$13=3,IF($F$18=2,'Input-Output'!$E$16*0.001102*Calculations!H210*0.4536,0),0),0))</f>
        <v>0</v>
      </c>
      <c r="J210" s="15" t="s">
        <v>188</v>
      </c>
    </row>
    <row r="211" spans="3:10" ht="15">
      <c r="C211" s="11"/>
      <c r="D211" s="31"/>
      <c r="E211" s="31"/>
      <c r="F211" s="31" t="s">
        <v>55</v>
      </c>
      <c r="G211" s="12" t="s">
        <v>56</v>
      </c>
      <c r="H211" s="14">
        <v>0.0071</v>
      </c>
      <c r="I211" s="89">
        <f>IF($C$12=3,0,IF($D$13=2,IF($E$13=3,IF($F$18=2,'Input-Output'!$E$16*0.001102*Calculations!H211*0.4536,0),0),0))</f>
        <v>0</v>
      </c>
      <c r="J211" s="15" t="s">
        <v>188</v>
      </c>
    </row>
    <row r="212" spans="3:10" ht="15">
      <c r="C212" s="11"/>
      <c r="D212" s="31"/>
      <c r="E212" s="31"/>
      <c r="F212" s="31" t="s">
        <v>65</v>
      </c>
      <c r="G212" s="12" t="s">
        <v>66</v>
      </c>
      <c r="H212" s="14">
        <v>0.028</v>
      </c>
      <c r="I212" s="89">
        <f>IF($C$12=3,0,IF($D$13=2,IF($E$13=3,IF($F$18=2,'Input-Output'!$E$16*0.001102*Calculations!H212*0.4536,0),0),0))</f>
        <v>0</v>
      </c>
      <c r="J212" s="15" t="s">
        <v>188</v>
      </c>
    </row>
    <row r="213" spans="3:10" ht="15">
      <c r="C213" s="11"/>
      <c r="D213" s="31"/>
      <c r="E213" s="31"/>
      <c r="F213" s="31" t="s">
        <v>67</v>
      </c>
      <c r="G213" s="12" t="s">
        <v>68</v>
      </c>
      <c r="H213" s="14">
        <v>0.034</v>
      </c>
      <c r="I213" s="89">
        <f>IF($C$12=3,0,IF($D$13=2,IF($E$13=3,IF($F$18=2,'Input-Output'!$E$16*0.001102*Calculations!H213*0.4536,0),0),0))</f>
        <v>0</v>
      </c>
      <c r="J213" s="15" t="s">
        <v>188</v>
      </c>
    </row>
    <row r="214" spans="3:10" ht="15">
      <c r="C214" s="11"/>
      <c r="D214" s="31"/>
      <c r="E214" s="31"/>
      <c r="F214" s="31" t="s">
        <v>71</v>
      </c>
      <c r="G214" s="12" t="s">
        <v>72</v>
      </c>
      <c r="H214" s="14">
        <v>0.0034</v>
      </c>
      <c r="I214" s="89">
        <f>IF($C$12=3,0,IF($D$13=2,IF($E$13=3,IF($F$18=2,'Input-Output'!$E$16*0.001102*Calculations!H214*0.4536,0),0),0))</f>
        <v>0</v>
      </c>
      <c r="J214" s="15" t="s">
        <v>188</v>
      </c>
    </row>
    <row r="215" spans="3:10" ht="15">
      <c r="C215" s="11"/>
      <c r="D215" s="31"/>
      <c r="E215" s="31"/>
      <c r="F215" s="31" t="s">
        <v>69</v>
      </c>
      <c r="G215" s="12" t="s">
        <v>70</v>
      </c>
      <c r="H215" s="14">
        <v>0.013</v>
      </c>
      <c r="I215" s="189">
        <f>IF($C$12=3,0,IF($D$13=2,IF($E$13=3,IF($F$18=2,'Input-Output'!$E$16*0.001102*Calculations!H215*0.4536,0),0),0))</f>
        <v>0</v>
      </c>
      <c r="J215" s="43" t="s">
        <v>188</v>
      </c>
    </row>
    <row r="216" spans="3:10" ht="18">
      <c r="C216" s="11"/>
      <c r="D216" s="31"/>
      <c r="E216" s="44" t="s">
        <v>135</v>
      </c>
      <c r="F216" s="44" t="s">
        <v>8</v>
      </c>
      <c r="G216" s="45" t="s">
        <v>9</v>
      </c>
      <c r="H216" s="46">
        <v>5.58</v>
      </c>
      <c r="I216" s="190">
        <f>IF($C$12=3,0,IF($D$13=2,IF($E$13=3,IF($F$18=3,'Input-Output'!$E$16*0.001102*Calculations!H216*0.4536,0),0),0))</f>
        <v>0</v>
      </c>
      <c r="J216" s="15" t="s">
        <v>187</v>
      </c>
    </row>
    <row r="217" spans="3:10" ht="18">
      <c r="C217" s="11"/>
      <c r="D217" s="31"/>
      <c r="E217" s="31"/>
      <c r="F217" s="31" t="s">
        <v>133</v>
      </c>
      <c r="G217" s="12" t="s">
        <v>9</v>
      </c>
      <c r="H217" s="76">
        <f>H216*0.61</f>
        <v>3.4038</v>
      </c>
      <c r="I217" s="89">
        <f>IF($C$12=3,0,IF($D$13=2,IF($E$13=3,IF($F$18=3,'Input-Output'!$E$16*0.001102*Calculations!H217*0.4536,0),0),0))</f>
        <v>0</v>
      </c>
      <c r="J217" s="15" t="s">
        <v>187</v>
      </c>
    </row>
    <row r="218" spans="3:10" ht="18">
      <c r="C218" s="11"/>
      <c r="D218" s="31"/>
      <c r="E218" s="31"/>
      <c r="F218" s="31" t="s">
        <v>132</v>
      </c>
      <c r="G218" s="12" t="s">
        <v>9</v>
      </c>
      <c r="H218" s="76">
        <f>H217*0.79</f>
        <v>2.689002</v>
      </c>
      <c r="I218" s="89">
        <f>IF($C$12=3,0,IF($D$13=2,IF($E$13=3,IF($F$18=3,'Input-Output'!$E$16*0.001102*Calculations!H218*0.4536,0),0),0))</f>
        <v>0</v>
      </c>
      <c r="J218" s="15" t="s">
        <v>187</v>
      </c>
    </row>
    <row r="219" spans="3:10" ht="15">
      <c r="C219" s="11"/>
      <c r="D219" s="31"/>
      <c r="E219" s="31"/>
      <c r="F219" s="31" t="s">
        <v>18</v>
      </c>
      <c r="G219" s="12" t="s">
        <v>25</v>
      </c>
      <c r="H219" s="14">
        <v>0.63</v>
      </c>
      <c r="I219" s="89">
        <f>IF($C$12=3,0,IF($D$13=2,IF($E$13=3,IF($F$18=3,'Input-Output'!$E$16*0.001102*Calculations!H219*0.4536,0),0),0))</f>
        <v>0</v>
      </c>
      <c r="J219" s="15" t="s">
        <v>189</v>
      </c>
    </row>
    <row r="220" spans="3:10" ht="15">
      <c r="C220" s="11"/>
      <c r="D220" s="31"/>
      <c r="E220" s="31"/>
      <c r="F220" s="31" t="s">
        <v>19</v>
      </c>
      <c r="G220" s="12" t="s">
        <v>20</v>
      </c>
      <c r="H220" s="14">
        <v>5.5</v>
      </c>
      <c r="I220" s="89">
        <f>IF($C$12=3,0,IF($D$13=2,IF($E$13=3,IF($F$18=3,'Input-Output'!$E$16*0.001102*Calculations!H220*0.4536,0),0),0))</f>
        <v>0</v>
      </c>
      <c r="J220" s="15" t="s">
        <v>189</v>
      </c>
    </row>
    <row r="221" spans="3:10" ht="15">
      <c r="C221" s="11"/>
      <c r="D221" s="31"/>
      <c r="E221" s="31"/>
      <c r="F221" s="31" t="s">
        <v>21</v>
      </c>
      <c r="G221" s="12" t="s">
        <v>22</v>
      </c>
      <c r="H221" s="14">
        <v>680</v>
      </c>
      <c r="I221" s="89">
        <f>IF($C$12=3,0,IF($D$13=2,IF($E$13=3,IF($F$18=3,'Input-Output'!$E$16*0.001102*Calculations!H221*0.4536,0),0),0))</f>
        <v>0</v>
      </c>
      <c r="J221" s="15" t="s">
        <v>189</v>
      </c>
    </row>
    <row r="222" spans="3:10" ht="15">
      <c r="C222" s="11"/>
      <c r="D222" s="31"/>
      <c r="E222" s="31"/>
      <c r="F222" s="31" t="s">
        <v>27</v>
      </c>
      <c r="G222" s="12" t="s">
        <v>9</v>
      </c>
      <c r="H222" s="14">
        <v>1.7</v>
      </c>
      <c r="I222" s="89">
        <f>IF($C$12=3,0,IF($D$13=2,IF($E$13=3,IF($F$18=3,'Input-Output'!$E$16*0.001102*Calculations!H222*0.4536,0),0),0))</f>
        <v>0</v>
      </c>
      <c r="J222" s="15" t="s">
        <v>189</v>
      </c>
    </row>
    <row r="223" spans="3:10" ht="15">
      <c r="C223" s="11"/>
      <c r="D223" s="31"/>
      <c r="E223" s="31"/>
      <c r="F223" s="31" t="s">
        <v>28</v>
      </c>
      <c r="G223" s="12" t="s">
        <v>9</v>
      </c>
      <c r="H223" s="14">
        <v>2.1</v>
      </c>
      <c r="I223" s="89">
        <f>IF($C$12=3,0,IF($D$13=2,IF($E$13=3,IF($F$18=3,'Input-Output'!$E$16*0.001102*Calculations!H223*0.4536,0),0),0))</f>
        <v>0</v>
      </c>
      <c r="J223" s="15" t="s">
        <v>186</v>
      </c>
    </row>
    <row r="224" spans="3:10" ht="15">
      <c r="C224" s="11"/>
      <c r="D224" s="31"/>
      <c r="E224" s="31"/>
      <c r="F224" s="31" t="s">
        <v>31</v>
      </c>
      <c r="G224" s="12" t="s">
        <v>32</v>
      </c>
      <c r="H224" s="14">
        <v>0.62</v>
      </c>
      <c r="I224" s="89">
        <f>IF($C$12=3,0,IF($D$13=2,IF($E$13=3,IF($F$18=3,'Input-Output'!$E$16*0.001102*Calculations!H224*0.4536,0),0),0))</f>
        <v>0</v>
      </c>
      <c r="J224" s="15" t="s">
        <v>188</v>
      </c>
    </row>
    <row r="225" spans="3:10" ht="15">
      <c r="C225" s="11"/>
      <c r="D225" s="31"/>
      <c r="E225" s="31"/>
      <c r="F225" s="31" t="s">
        <v>33</v>
      </c>
      <c r="G225" s="12" t="s">
        <v>34</v>
      </c>
      <c r="H225" s="14">
        <v>0.041</v>
      </c>
      <c r="I225" s="89">
        <f>IF($C$12=3,0,IF($D$13=2,IF($E$13=3,IF($F$18=3,'Input-Output'!$E$16*0.001102*Calculations!H225*0.4536,0),0),0))</f>
        <v>0</v>
      </c>
      <c r="J225" s="15" t="s">
        <v>188</v>
      </c>
    </row>
    <row r="226" spans="3:10" ht="15">
      <c r="C226" s="11"/>
      <c r="D226" s="31"/>
      <c r="E226" s="31"/>
      <c r="F226" s="31" t="s">
        <v>35</v>
      </c>
      <c r="G226" s="12" t="s">
        <v>36</v>
      </c>
      <c r="H226" s="14">
        <v>0.2</v>
      </c>
      <c r="I226" s="89">
        <f>IF($C$12=3,0,IF($D$13=2,IF($E$13=3,IF($F$18=3,'Input-Output'!$E$16*0.001102*Calculations!H226*0.4536,0),0),0))</f>
        <v>0</v>
      </c>
      <c r="J226" s="15" t="s">
        <v>188</v>
      </c>
    </row>
    <row r="227" spans="3:10" ht="15">
      <c r="C227" s="11"/>
      <c r="D227" s="31"/>
      <c r="E227" s="31"/>
      <c r="F227" s="31" t="s">
        <v>39</v>
      </c>
      <c r="G227" s="12" t="s">
        <v>40</v>
      </c>
      <c r="H227" s="14">
        <v>0.01</v>
      </c>
      <c r="I227" s="89">
        <f>IF($C$12=3,0,IF($D$13=2,IF($E$13=3,IF($F$18=3,'Input-Output'!$E$16*0.001102*Calculations!H227*0.4536,0),0),0))</f>
        <v>0</v>
      </c>
      <c r="J227" s="15" t="s">
        <v>187</v>
      </c>
    </row>
    <row r="228" spans="3:10" ht="15">
      <c r="C228" s="11"/>
      <c r="D228" s="31"/>
      <c r="E228" s="31"/>
      <c r="F228" s="31" t="s">
        <v>49</v>
      </c>
      <c r="G228" s="12" t="s">
        <v>50</v>
      </c>
      <c r="H228" s="14">
        <v>0.11</v>
      </c>
      <c r="I228" s="89">
        <f>IF($C$12=3,0,IF($D$13=2,IF($E$13=3,IF($F$18=3,'Input-Output'!$E$16*0.001102*Calculations!H228*0.4536,0),0),0))</f>
        <v>0</v>
      </c>
      <c r="J228" s="15" t="s">
        <v>189</v>
      </c>
    </row>
    <row r="229" spans="3:10" ht="15">
      <c r="C229" s="11"/>
      <c r="D229" s="31"/>
      <c r="E229" s="31"/>
      <c r="F229" s="31" t="s">
        <v>53</v>
      </c>
      <c r="G229" s="12" t="s">
        <v>54</v>
      </c>
      <c r="H229" s="14">
        <v>0.33</v>
      </c>
      <c r="I229" s="89">
        <f>IF($C$12=3,0,IF($D$13=2,IF($E$13=3,IF($F$18=3,'Input-Output'!$E$16*0.001102*Calculations!H229*0.4536,0),0),0))</f>
        <v>0</v>
      </c>
      <c r="J229" s="15" t="s">
        <v>188</v>
      </c>
    </row>
    <row r="230" spans="3:10" ht="15">
      <c r="C230" s="11"/>
      <c r="D230" s="31"/>
      <c r="E230" s="31"/>
      <c r="F230" s="31" t="s">
        <v>55</v>
      </c>
      <c r="G230" s="12" t="s">
        <v>56</v>
      </c>
      <c r="H230" s="14">
        <v>0.0071</v>
      </c>
      <c r="I230" s="89">
        <f>IF($C$12=3,0,IF($D$13=2,IF($E$13=3,IF($F$18=3,'Input-Output'!$E$16*0.001102*Calculations!H230*0.4536,0),0),0))</f>
        <v>0</v>
      </c>
      <c r="J230" s="15" t="s">
        <v>188</v>
      </c>
    </row>
    <row r="231" spans="3:10" ht="15">
      <c r="C231" s="11"/>
      <c r="D231" s="31"/>
      <c r="E231" s="31"/>
      <c r="F231" s="31" t="s">
        <v>65</v>
      </c>
      <c r="G231" s="12" t="s">
        <v>66</v>
      </c>
      <c r="H231" s="14">
        <v>0.028</v>
      </c>
      <c r="I231" s="89">
        <f>IF($C$12=3,0,IF($D$13=2,IF($E$13=3,IF($F$18=3,'Input-Output'!$E$16*0.001102*Calculations!H231*0.4536,0),0),0))</f>
        <v>0</v>
      </c>
      <c r="J231" s="15" t="s">
        <v>188</v>
      </c>
    </row>
    <row r="232" spans="3:10" ht="15">
      <c r="C232" s="11"/>
      <c r="D232" s="31"/>
      <c r="E232" s="31"/>
      <c r="F232" s="31" t="s">
        <v>67</v>
      </c>
      <c r="G232" s="12" t="s">
        <v>68</v>
      </c>
      <c r="H232" s="14">
        <v>0.034</v>
      </c>
      <c r="I232" s="89">
        <f>IF($C$12=3,0,IF($D$13=2,IF($E$13=3,IF($F$18=3,'Input-Output'!$E$16*0.001102*Calculations!H232*0.4536,0),0),0))</f>
        <v>0</v>
      </c>
      <c r="J232" s="15" t="s">
        <v>188</v>
      </c>
    </row>
    <row r="233" spans="3:10" ht="15">
      <c r="C233" s="11"/>
      <c r="D233" s="31"/>
      <c r="E233" s="31"/>
      <c r="F233" s="31" t="s">
        <v>71</v>
      </c>
      <c r="G233" s="12" t="s">
        <v>72</v>
      </c>
      <c r="H233" s="14">
        <v>0.0034</v>
      </c>
      <c r="I233" s="89">
        <f>IF($C$12=3,0,IF($D$13=2,IF($E$13=3,IF($F$18=3,'Input-Output'!$E$16*0.001102*Calculations!H233*0.4536,0),0),0))</f>
        <v>0</v>
      </c>
      <c r="J233" s="15" t="s">
        <v>188</v>
      </c>
    </row>
    <row r="234" spans="3:10" ht="15">
      <c r="C234" s="11"/>
      <c r="D234" s="31"/>
      <c r="E234" s="40"/>
      <c r="F234" s="40" t="s">
        <v>69</v>
      </c>
      <c r="G234" s="41" t="s">
        <v>70</v>
      </c>
      <c r="H234" s="42">
        <v>0.013</v>
      </c>
      <c r="I234" s="189">
        <f>IF($C$12=3,0,IF($D$13=2,IF($E$13=3,IF($F$18=3,'Input-Output'!$E$16*0.001102*Calculations!H234*0.4536,0),0),0))</f>
        <v>0</v>
      </c>
      <c r="J234" s="43" t="s">
        <v>188</v>
      </c>
    </row>
    <row r="235" spans="3:10" ht="18">
      <c r="C235" s="11"/>
      <c r="D235" s="31"/>
      <c r="E235" s="44" t="s">
        <v>184</v>
      </c>
      <c r="F235" s="44" t="s">
        <v>8</v>
      </c>
      <c r="G235" s="45" t="s">
        <v>9</v>
      </c>
      <c r="H235" s="46">
        <v>1.38</v>
      </c>
      <c r="I235" s="190">
        <f>IF($C$12=3,0,IF($D$13=2,IF($E$13=3,IF($F$18=4,'Input-Output'!$E$16*0.001102*Calculations!H235*0.4536,0),0),0))</f>
        <v>0</v>
      </c>
      <c r="J235" s="15" t="s">
        <v>186</v>
      </c>
    </row>
    <row r="236" spans="3:10" ht="15">
      <c r="C236" s="11"/>
      <c r="D236" s="31"/>
      <c r="E236" s="31"/>
      <c r="F236" s="31" t="s">
        <v>10</v>
      </c>
      <c r="G236" s="12" t="s">
        <v>9</v>
      </c>
      <c r="H236" s="14">
        <v>1.45</v>
      </c>
      <c r="I236" s="89">
        <f>IF($C$12=3,0,IF($D$13=2,IF($E$13=3,IF($F$18=4,'Input-Output'!$E$16*0.001102*Calculations!H236*0.4536,0),0),0))</f>
        <v>0</v>
      </c>
      <c r="J236" s="15" t="s">
        <v>187</v>
      </c>
    </row>
    <row r="237" spans="3:10" ht="18">
      <c r="C237" s="11"/>
      <c r="D237" s="31"/>
      <c r="E237" s="31"/>
      <c r="F237" s="31" t="s">
        <v>132</v>
      </c>
      <c r="G237" s="12" t="s">
        <v>9</v>
      </c>
      <c r="H237" s="75">
        <f>H236*0.79</f>
        <v>1.1455</v>
      </c>
      <c r="I237" s="89">
        <f>IF($C$12=3,0,IF($D$13=2,IF($E$13=3,IF($F$18=4,'Input-Output'!$E$16*0.001102*Calculations!H237*0.4536,0),0),0))</f>
        <v>0</v>
      </c>
      <c r="J237" s="15" t="s">
        <v>187</v>
      </c>
    </row>
    <row r="238" spans="3:10" ht="15">
      <c r="C238" s="11"/>
      <c r="D238" s="31"/>
      <c r="E238" s="31"/>
      <c r="F238" s="31" t="s">
        <v>18</v>
      </c>
      <c r="G238" s="12" t="s">
        <v>25</v>
      </c>
      <c r="H238" s="14">
        <v>0.63</v>
      </c>
      <c r="I238" s="89">
        <f>IF($C$12=3,0,IF($D$13=2,IF($E$13=3,IF($F$18=4,'Input-Output'!$E$16*0.001102*Calculations!H238*0.4536,0),0),0))</f>
        <v>0</v>
      </c>
      <c r="J238" s="15" t="s">
        <v>189</v>
      </c>
    </row>
    <row r="239" spans="3:10" ht="15">
      <c r="C239" s="11"/>
      <c r="D239" s="31"/>
      <c r="E239" s="31"/>
      <c r="F239" s="31" t="s">
        <v>19</v>
      </c>
      <c r="G239" s="12" t="s">
        <v>20</v>
      </c>
      <c r="H239" s="14">
        <v>5.5</v>
      </c>
      <c r="I239" s="89">
        <f>IF($C$12=3,0,IF($D$13=2,IF($E$13=3,IF($F$18=4,'Input-Output'!$E$16*0.001102*Calculations!H239*0.4536,0),0),0))</f>
        <v>0</v>
      </c>
      <c r="J239" s="15" t="s">
        <v>189</v>
      </c>
    </row>
    <row r="240" spans="3:10" ht="15">
      <c r="C240" s="11"/>
      <c r="D240" s="31"/>
      <c r="E240" s="31"/>
      <c r="F240" s="31" t="s">
        <v>21</v>
      </c>
      <c r="G240" s="12" t="s">
        <v>22</v>
      </c>
      <c r="H240" s="14">
        <v>680</v>
      </c>
      <c r="I240" s="89">
        <f>IF($C$12=3,0,IF($D$13=2,IF($E$13=3,IF($F$18=4,'Input-Output'!$E$16*0.001102*Calculations!H240*0.4536,0),0),0))</f>
        <v>0</v>
      </c>
      <c r="J240" s="15" t="s">
        <v>189</v>
      </c>
    </row>
    <row r="241" spans="3:10" ht="15">
      <c r="C241" s="11"/>
      <c r="D241" s="31"/>
      <c r="E241" s="31"/>
      <c r="F241" s="31" t="s">
        <v>27</v>
      </c>
      <c r="G241" s="12" t="s">
        <v>9</v>
      </c>
      <c r="H241" s="14">
        <v>1.7</v>
      </c>
      <c r="I241" s="89">
        <f>IF($C$12=3,0,IF($D$13=2,IF($E$13=3,IF($F$18=4,'Input-Output'!$E$16*0.001102*Calculations!H241*0.4536,0),0),0))</f>
        <v>0</v>
      </c>
      <c r="J241" s="15" t="s">
        <v>189</v>
      </c>
    </row>
    <row r="242" spans="3:10" ht="15">
      <c r="C242" s="11"/>
      <c r="D242" s="31"/>
      <c r="E242" s="31"/>
      <c r="F242" s="31" t="s">
        <v>28</v>
      </c>
      <c r="G242" s="12" t="s">
        <v>9</v>
      </c>
      <c r="H242" s="14">
        <v>2.1</v>
      </c>
      <c r="I242" s="89">
        <f>IF($C$12=3,0,IF($D$13=2,IF($E$13=3,IF($F$18=4,'Input-Output'!$E$16*0.001102*Calculations!H242*0.4536,0),0),0))</f>
        <v>0</v>
      </c>
      <c r="J242" s="15" t="s">
        <v>186</v>
      </c>
    </row>
    <row r="243" spans="3:10" ht="15">
      <c r="C243" s="11"/>
      <c r="D243" s="31"/>
      <c r="E243" s="31"/>
      <c r="F243" s="31" t="s">
        <v>31</v>
      </c>
      <c r="G243" s="12" t="s">
        <v>32</v>
      </c>
      <c r="H243" s="14">
        <v>0.62</v>
      </c>
      <c r="I243" s="89">
        <f>IF($C$12=3,0,IF($D$13=2,IF($E$13=3,IF($F$18=4,'Input-Output'!$E$16*0.001102*Calculations!H243*0.4536,0),0),0))</f>
        <v>0</v>
      </c>
      <c r="J243" s="15" t="s">
        <v>188</v>
      </c>
    </row>
    <row r="244" spans="3:10" ht="15">
      <c r="C244" s="11"/>
      <c r="D244" s="31"/>
      <c r="E244" s="31"/>
      <c r="F244" s="31" t="s">
        <v>33</v>
      </c>
      <c r="G244" s="12" t="s">
        <v>34</v>
      </c>
      <c r="H244" s="14">
        <v>0.041</v>
      </c>
      <c r="I244" s="89">
        <f>IF($C$12=3,0,IF($D$13=2,IF($E$13=3,IF($F$18=4,'Input-Output'!$E$16*0.001102*Calculations!H244*0.4536,0),0),0))</f>
        <v>0</v>
      </c>
      <c r="J244" s="15" t="s">
        <v>188</v>
      </c>
    </row>
    <row r="245" spans="3:10" ht="15">
      <c r="C245" s="11"/>
      <c r="D245" s="31"/>
      <c r="E245" s="31"/>
      <c r="F245" s="31" t="s">
        <v>35</v>
      </c>
      <c r="G245" s="12" t="s">
        <v>36</v>
      </c>
      <c r="H245" s="14">
        <v>0.2</v>
      </c>
      <c r="I245" s="89">
        <f>IF($C$12=3,0,IF($D$13=2,IF($E$13=3,IF($F$18=4,'Input-Output'!$E$16*0.001102*Calculations!H245*0.4536,0),0),0))</f>
        <v>0</v>
      </c>
      <c r="J245" s="15" t="s">
        <v>188</v>
      </c>
    </row>
    <row r="246" spans="3:10" ht="15">
      <c r="C246" s="11"/>
      <c r="D246" s="31"/>
      <c r="E246" s="31"/>
      <c r="F246" s="31" t="s">
        <v>39</v>
      </c>
      <c r="G246" s="12" t="s">
        <v>40</v>
      </c>
      <c r="H246" s="14">
        <v>0.01</v>
      </c>
      <c r="I246" s="89">
        <f>IF($C$12=3,0,IF($D$13=2,IF($E$13=3,IF($F$18=4,'Input-Output'!$E$16*0.001102*Calculations!H246*0.4536,0),0),0))</f>
        <v>0</v>
      </c>
      <c r="J246" s="15" t="s">
        <v>187</v>
      </c>
    </row>
    <row r="247" spans="3:10" ht="15">
      <c r="C247" s="11"/>
      <c r="D247" s="31"/>
      <c r="E247" s="31"/>
      <c r="F247" s="31" t="s">
        <v>49</v>
      </c>
      <c r="G247" s="12" t="s">
        <v>50</v>
      </c>
      <c r="H247" s="14">
        <v>0.11</v>
      </c>
      <c r="I247" s="89">
        <f>IF($C$12=3,0,IF($D$13=2,IF($E$13=3,IF($F$18=4,'Input-Output'!$E$16*0.001102*Calculations!H247*0.4536,0),0),0))</f>
        <v>0</v>
      </c>
      <c r="J247" s="15" t="s">
        <v>189</v>
      </c>
    </row>
    <row r="248" spans="3:10" ht="15">
      <c r="C248" s="11"/>
      <c r="D248" s="31"/>
      <c r="E248" s="31"/>
      <c r="F248" s="31" t="s">
        <v>53</v>
      </c>
      <c r="G248" s="12" t="s">
        <v>54</v>
      </c>
      <c r="H248" s="14">
        <v>0.33</v>
      </c>
      <c r="I248" s="89">
        <f>IF($C$12=3,0,IF($D$13=2,IF($E$13=3,IF($F$18=4,'Input-Output'!$E$16*0.001102*Calculations!H248*0.4536,0),0),0))</f>
        <v>0</v>
      </c>
      <c r="J248" s="15" t="s">
        <v>188</v>
      </c>
    </row>
    <row r="249" spans="3:10" ht="15">
      <c r="C249" s="11"/>
      <c r="D249" s="31"/>
      <c r="E249" s="31"/>
      <c r="F249" s="31" t="s">
        <v>55</v>
      </c>
      <c r="G249" s="12" t="s">
        <v>56</v>
      </c>
      <c r="H249" s="14">
        <v>0.0071</v>
      </c>
      <c r="I249" s="89">
        <f>IF($C$12=3,0,IF($D$13=2,IF($E$13=3,IF($F$18=4,'Input-Output'!$E$16*0.001102*Calculations!H249*0.4536,0),0),0))</f>
        <v>0</v>
      </c>
      <c r="J249" s="15" t="s">
        <v>188</v>
      </c>
    </row>
    <row r="250" spans="3:10" ht="15">
      <c r="C250" s="11"/>
      <c r="D250" s="31"/>
      <c r="E250" s="31"/>
      <c r="F250" s="31" t="s">
        <v>65</v>
      </c>
      <c r="G250" s="12" t="s">
        <v>66</v>
      </c>
      <c r="H250" s="14">
        <v>0.028</v>
      </c>
      <c r="I250" s="89">
        <f>IF($C$12=3,0,IF($D$13=2,IF($E$13=3,IF($F$18=4,'Input-Output'!$E$16*0.001102*Calculations!H250*0.4536,0),0),0))</f>
        <v>0</v>
      </c>
      <c r="J250" s="15" t="s">
        <v>188</v>
      </c>
    </row>
    <row r="251" spans="3:10" ht="15">
      <c r="C251" s="11"/>
      <c r="D251" s="31"/>
      <c r="E251" s="31"/>
      <c r="F251" s="31" t="s">
        <v>67</v>
      </c>
      <c r="G251" s="12" t="s">
        <v>68</v>
      </c>
      <c r="H251" s="14">
        <v>0.034</v>
      </c>
      <c r="I251" s="89">
        <f>IF($C$12=3,0,IF($D$13=2,IF($E$13=3,IF($F$18=4,'Input-Output'!$E$16*0.001102*Calculations!H251*0.4536,0),0),0))</f>
        <v>0</v>
      </c>
      <c r="J251" s="15" t="s">
        <v>188</v>
      </c>
    </row>
    <row r="252" spans="3:10" ht="15">
      <c r="C252" s="11"/>
      <c r="D252" s="31"/>
      <c r="E252" s="31"/>
      <c r="F252" s="31" t="s">
        <v>71</v>
      </c>
      <c r="G252" s="12" t="s">
        <v>72</v>
      </c>
      <c r="H252" s="14">
        <v>0.0034</v>
      </c>
      <c r="I252" s="89">
        <f>IF($C$12=3,0,IF($D$13=2,IF($E$13=3,IF($F$18=4,'Input-Output'!$E$16*0.001102*Calculations!H252*0.4536,0),0),0))</f>
        <v>0</v>
      </c>
      <c r="J252" s="15" t="s">
        <v>188</v>
      </c>
    </row>
    <row r="253" spans="3:10" ht="15">
      <c r="C253" s="11"/>
      <c r="D253" s="31"/>
      <c r="E253" s="40"/>
      <c r="F253" s="40" t="s">
        <v>69</v>
      </c>
      <c r="G253" s="41" t="s">
        <v>70</v>
      </c>
      <c r="H253" s="42">
        <v>0.013</v>
      </c>
      <c r="I253" s="189">
        <f>IF($C$12=3,0,IF($D$13=2,IF($E$13=3,IF($F$18=4,'Input-Output'!$E$16*0.001102*Calculations!H253*0.4536,0),0),0))</f>
        <v>0</v>
      </c>
      <c r="J253" s="43" t="s">
        <v>188</v>
      </c>
    </row>
    <row r="254" spans="3:10" ht="18">
      <c r="C254" s="11"/>
      <c r="D254" s="31"/>
      <c r="E254" s="44" t="s">
        <v>137</v>
      </c>
      <c r="F254" s="44" t="s">
        <v>8</v>
      </c>
      <c r="G254" s="45" t="s">
        <v>9</v>
      </c>
      <c r="H254" s="46">
        <v>0.63</v>
      </c>
      <c r="I254" s="190">
        <f>IF($C$12=3,0,IF($D$13=2,IF($E$13=3,IF($F$18=5,'Input-Output'!$E$16*0.001102*Calculations!H254*0.4536,0),0),0))</f>
        <v>0</v>
      </c>
      <c r="J254" s="15" t="s">
        <v>187</v>
      </c>
    </row>
    <row r="255" spans="3:10" ht="18">
      <c r="C255" s="11"/>
      <c r="D255" s="31"/>
      <c r="E255" s="31"/>
      <c r="F255" s="31" t="s">
        <v>133</v>
      </c>
      <c r="G255" s="12" t="s">
        <v>9</v>
      </c>
      <c r="H255" s="75">
        <f>H254*0.61</f>
        <v>0.3843</v>
      </c>
      <c r="I255" s="89">
        <f>IF($C$12=3,0,IF($D$13=2,IF($E$13=3,IF($F$18=5,'Input-Output'!$E$16*0.001102*Calculations!H255*0.4536,0),0),0))</f>
        <v>0</v>
      </c>
      <c r="J255" s="15" t="s">
        <v>187</v>
      </c>
    </row>
    <row r="256" spans="3:10" ht="18">
      <c r="C256" s="11"/>
      <c r="D256" s="31"/>
      <c r="E256" s="31"/>
      <c r="F256" s="31" t="s">
        <v>132</v>
      </c>
      <c r="G256" s="12" t="s">
        <v>9</v>
      </c>
      <c r="H256" s="75">
        <f>H255*0.79</f>
        <v>0.303597</v>
      </c>
      <c r="I256" s="89">
        <f>IF($C$12=3,0,IF($D$13=2,IF($E$13=3,IF($F$18=5,'Input-Output'!$E$16*0.001102*Calculations!H256*0.4536,0),0),0))</f>
        <v>0</v>
      </c>
      <c r="J256" s="15" t="s">
        <v>187</v>
      </c>
    </row>
    <row r="257" spans="3:10" ht="15">
      <c r="C257" s="11"/>
      <c r="D257" s="31"/>
      <c r="E257" s="31"/>
      <c r="F257" s="31" t="s">
        <v>18</v>
      </c>
      <c r="G257" s="12" t="s">
        <v>25</v>
      </c>
      <c r="H257" s="14">
        <v>0.63</v>
      </c>
      <c r="I257" s="89">
        <f>IF($C$12=3,0,IF($D$13=2,IF($E$13=3,IF($F$18=5,'Input-Output'!$E$16*0.001102*Calculations!H257*0.4536,0),0),0))</f>
        <v>0</v>
      </c>
      <c r="J257" s="15" t="s">
        <v>189</v>
      </c>
    </row>
    <row r="258" spans="3:10" ht="15">
      <c r="C258" s="11"/>
      <c r="D258" s="31"/>
      <c r="E258" s="31"/>
      <c r="F258" s="31" t="s">
        <v>19</v>
      </c>
      <c r="G258" s="12" t="s">
        <v>20</v>
      </c>
      <c r="H258" s="14">
        <v>5.5</v>
      </c>
      <c r="I258" s="89">
        <f>IF($C$12=3,0,IF($D$13=2,IF($E$13=3,IF($F$18=5,'Input-Output'!$E$16*0.001102*Calculations!H258*0.4536,0),0),0))</f>
        <v>0</v>
      </c>
      <c r="J258" s="15" t="s">
        <v>189</v>
      </c>
    </row>
    <row r="259" spans="3:10" ht="15">
      <c r="C259" s="11"/>
      <c r="D259" s="31"/>
      <c r="E259" s="31"/>
      <c r="F259" s="31" t="s">
        <v>21</v>
      </c>
      <c r="G259" s="12" t="s">
        <v>22</v>
      </c>
      <c r="H259" s="14">
        <v>680</v>
      </c>
      <c r="I259" s="89">
        <f>IF($C$12=3,0,IF($D$13=2,IF($E$13=3,IF($F$18=5,'Input-Output'!$E$16*0.001102*Calculations!H259*0.4536,0),0),0))</f>
        <v>0</v>
      </c>
      <c r="J259" s="15" t="s">
        <v>189</v>
      </c>
    </row>
    <row r="260" spans="3:10" ht="15">
      <c r="C260" s="11"/>
      <c r="D260" s="31"/>
      <c r="E260" s="31"/>
      <c r="F260" s="31" t="s">
        <v>27</v>
      </c>
      <c r="G260" s="12" t="s">
        <v>9</v>
      </c>
      <c r="H260" s="14">
        <v>1.7</v>
      </c>
      <c r="I260" s="89">
        <f>IF($C$12=3,0,IF($D$13=2,IF($E$13=3,IF($F$18=5,'Input-Output'!$E$16*0.001102*Calculations!H260*0.4536,0),0),0))</f>
        <v>0</v>
      </c>
      <c r="J260" s="15" t="s">
        <v>189</v>
      </c>
    </row>
    <row r="261" spans="3:10" ht="15">
      <c r="C261" s="11"/>
      <c r="D261" s="31"/>
      <c r="E261" s="31"/>
      <c r="F261" s="31" t="s">
        <v>28</v>
      </c>
      <c r="G261" s="12" t="s">
        <v>9</v>
      </c>
      <c r="H261" s="14">
        <v>2.1</v>
      </c>
      <c r="I261" s="89">
        <f>IF($C$12=3,0,IF($D$13=2,IF($E$13=3,IF($F$18=5,'Input-Output'!$E$16*0.001102*Calculations!H261*0.4536,0),0),0))</f>
        <v>0</v>
      </c>
      <c r="J261" s="15" t="s">
        <v>186</v>
      </c>
    </row>
    <row r="262" spans="3:10" ht="15">
      <c r="C262" s="11"/>
      <c r="D262" s="31"/>
      <c r="E262" s="31"/>
      <c r="F262" s="31" t="s">
        <v>31</v>
      </c>
      <c r="G262" s="12" t="s">
        <v>32</v>
      </c>
      <c r="H262" s="14">
        <v>0.62</v>
      </c>
      <c r="I262" s="89">
        <f>IF($C$12=3,0,IF($D$13=2,IF($E$13=3,IF($F$18=5,'Input-Output'!$E$16*0.001102*Calculations!H262*0.4536,0),0),0))</f>
        <v>0</v>
      </c>
      <c r="J262" s="15" t="s">
        <v>188</v>
      </c>
    </row>
    <row r="263" spans="3:10" ht="15">
      <c r="C263" s="11"/>
      <c r="D263" s="31"/>
      <c r="E263" s="31"/>
      <c r="F263" s="31" t="s">
        <v>33</v>
      </c>
      <c r="G263" s="12" t="s">
        <v>34</v>
      </c>
      <c r="H263" s="14">
        <v>0.041</v>
      </c>
      <c r="I263" s="89">
        <f>IF($C$12=3,0,IF($D$13=2,IF($E$13=3,IF($F$18=5,'Input-Output'!$E$16*0.001102*Calculations!H263*0.4536,0),0),0))</f>
        <v>0</v>
      </c>
      <c r="J263" s="15" t="s">
        <v>188</v>
      </c>
    </row>
    <row r="264" spans="3:10" ht="15">
      <c r="C264" s="11"/>
      <c r="D264" s="31"/>
      <c r="E264" s="31"/>
      <c r="F264" s="31" t="s">
        <v>35</v>
      </c>
      <c r="G264" s="12" t="s">
        <v>36</v>
      </c>
      <c r="H264" s="14">
        <v>0.2</v>
      </c>
      <c r="I264" s="89">
        <f>IF($C$12=3,0,IF($D$13=2,IF($E$13=3,IF($F$18=5,'Input-Output'!$E$16*0.001102*Calculations!H264*0.4536,0),0),0))</f>
        <v>0</v>
      </c>
      <c r="J264" s="15" t="s">
        <v>188</v>
      </c>
    </row>
    <row r="265" spans="3:10" ht="15">
      <c r="C265" s="11"/>
      <c r="D265" s="31"/>
      <c r="E265" s="31"/>
      <c r="F265" s="31" t="s">
        <v>39</v>
      </c>
      <c r="G265" s="12" t="s">
        <v>40</v>
      </c>
      <c r="H265" s="14">
        <v>0.01</v>
      </c>
      <c r="I265" s="89">
        <f>IF($C$12=3,0,IF($D$13=2,IF($E$13=3,IF($F$18=5,'Input-Output'!$E$16*0.001102*Calculations!H265*0.4536,0),0),0))</f>
        <v>0</v>
      </c>
      <c r="J265" s="15" t="s">
        <v>187</v>
      </c>
    </row>
    <row r="266" spans="3:10" ht="15">
      <c r="C266" s="11"/>
      <c r="D266" s="31"/>
      <c r="E266" s="31"/>
      <c r="F266" s="31" t="s">
        <v>49</v>
      </c>
      <c r="G266" s="12" t="s">
        <v>50</v>
      </c>
      <c r="H266" s="14">
        <v>0.11</v>
      </c>
      <c r="I266" s="89">
        <f>IF($C$12=3,0,IF($D$13=2,IF($E$13=3,IF($F$18=5,'Input-Output'!$E$16*0.001102*Calculations!H266*0.4536,0),0),0))</f>
        <v>0</v>
      </c>
      <c r="J266" s="15" t="s">
        <v>189</v>
      </c>
    </row>
    <row r="267" spans="3:10" ht="15">
      <c r="C267" s="11"/>
      <c r="D267" s="31"/>
      <c r="E267" s="31"/>
      <c r="F267" s="31" t="s">
        <v>53</v>
      </c>
      <c r="G267" s="12" t="s">
        <v>54</v>
      </c>
      <c r="H267" s="14">
        <v>0.33</v>
      </c>
      <c r="I267" s="89">
        <f>IF($C$12=3,0,IF($D$13=2,IF($E$13=3,IF($F$18=5,'Input-Output'!$E$16*0.001102*Calculations!H267*0.4536,0),0),0))</f>
        <v>0</v>
      </c>
      <c r="J267" s="15" t="s">
        <v>188</v>
      </c>
    </row>
    <row r="268" spans="3:10" ht="15">
      <c r="C268" s="11"/>
      <c r="D268" s="31"/>
      <c r="E268" s="31"/>
      <c r="F268" s="31" t="s">
        <v>55</v>
      </c>
      <c r="G268" s="12" t="s">
        <v>56</v>
      </c>
      <c r="H268" s="14">
        <v>0.0071</v>
      </c>
      <c r="I268" s="89">
        <f>IF($C$12=3,0,IF($D$13=2,IF($E$13=3,IF($F$18=5,'Input-Output'!$E$16*0.001102*Calculations!H268*0.4536,0),0),0))</f>
        <v>0</v>
      </c>
      <c r="J268" s="15" t="s">
        <v>188</v>
      </c>
    </row>
    <row r="269" spans="3:10" ht="15">
      <c r="C269" s="11"/>
      <c r="D269" s="31"/>
      <c r="E269" s="31"/>
      <c r="F269" s="31" t="s">
        <v>65</v>
      </c>
      <c r="G269" s="12" t="s">
        <v>66</v>
      </c>
      <c r="H269" s="14">
        <v>0.028</v>
      </c>
      <c r="I269" s="89">
        <f>IF($C$12=3,0,IF($D$13=2,IF($E$13=3,IF($F$18=5,'Input-Output'!$E$16*0.001102*Calculations!H269*0.4536,0),0),0))</f>
        <v>0</v>
      </c>
      <c r="J269" s="15" t="s">
        <v>188</v>
      </c>
    </row>
    <row r="270" spans="3:10" ht="15">
      <c r="C270" s="11"/>
      <c r="D270" s="31"/>
      <c r="E270" s="31"/>
      <c r="F270" s="31" t="s">
        <v>67</v>
      </c>
      <c r="G270" s="12" t="s">
        <v>68</v>
      </c>
      <c r="H270" s="14">
        <v>0.034</v>
      </c>
      <c r="I270" s="89">
        <f>IF($C$12=3,0,IF($D$13=2,IF($E$13=3,IF($F$18=5,'Input-Output'!$E$16*0.001102*Calculations!H270*0.4536,0),0),0))</f>
        <v>0</v>
      </c>
      <c r="J270" s="15" t="s">
        <v>188</v>
      </c>
    </row>
    <row r="271" spans="3:10" ht="15">
      <c r="C271" s="11"/>
      <c r="D271" s="31"/>
      <c r="E271" s="31"/>
      <c r="F271" s="31" t="s">
        <v>71</v>
      </c>
      <c r="G271" s="12" t="s">
        <v>72</v>
      </c>
      <c r="H271" s="14">
        <v>0.0034</v>
      </c>
      <c r="I271" s="89">
        <f>IF($C$12=3,0,IF($D$13=2,IF($E$13=3,IF($F$18=5,'Input-Output'!$E$16*0.001102*Calculations!H271*0.4536,0),0),0))</f>
        <v>0</v>
      </c>
      <c r="J271" s="15" t="s">
        <v>188</v>
      </c>
    </row>
    <row r="272" spans="3:10" ht="15">
      <c r="C272" s="11"/>
      <c r="D272" s="31"/>
      <c r="E272" s="40"/>
      <c r="F272" s="40" t="s">
        <v>69</v>
      </c>
      <c r="G272" s="41" t="s">
        <v>70</v>
      </c>
      <c r="H272" s="42">
        <v>0.013</v>
      </c>
      <c r="I272" s="189">
        <f>IF($C$12=3,0,IF($D$13=2,IF($E$13=3,IF($F$18=5,'Input-Output'!$E$16*0.001102*Calculations!H272*0.4536,0),0),0))</f>
        <v>0</v>
      </c>
      <c r="J272" s="43" t="s">
        <v>188</v>
      </c>
    </row>
    <row r="273" spans="3:10" ht="15">
      <c r="C273" s="11"/>
      <c r="D273" s="31"/>
      <c r="E273" s="31" t="s">
        <v>12</v>
      </c>
      <c r="F273" s="31" t="s">
        <v>23</v>
      </c>
      <c r="G273" s="12" t="s">
        <v>24</v>
      </c>
      <c r="H273" s="14">
        <v>0.014</v>
      </c>
      <c r="I273" s="190">
        <f>IF($C$12=3,0,IF($D$13=2,IF($E$13=3,IF($F$18=6,'Input-Output'!$E$16*0.001102*Calculations!H273*0.4536,0),0),0))</f>
        <v>0</v>
      </c>
      <c r="J273" s="15" t="s">
        <v>188</v>
      </c>
    </row>
    <row r="274" spans="3:10" ht="15">
      <c r="C274" s="11"/>
      <c r="D274" s="31"/>
      <c r="E274" s="31"/>
      <c r="F274" s="31" t="s">
        <v>18</v>
      </c>
      <c r="G274" s="12" t="s">
        <v>25</v>
      </c>
      <c r="H274" s="14">
        <v>0.42</v>
      </c>
      <c r="I274" s="89">
        <f>IF($C$12=3,0,IF($D$13=2,IF($E$13=3,IF($F$18=6,'Input-Output'!$E$16*0.001102*Calculations!H274*0.4536,0),0),0))</f>
        <v>0</v>
      </c>
      <c r="J274" s="15" t="s">
        <v>187</v>
      </c>
    </row>
    <row r="275" spans="3:10" ht="15">
      <c r="C275" s="11"/>
      <c r="D275" s="31"/>
      <c r="E275" s="31"/>
      <c r="F275" s="31" t="s">
        <v>19</v>
      </c>
      <c r="G275" s="12" t="s">
        <v>20</v>
      </c>
      <c r="H275" s="14">
        <v>1.5</v>
      </c>
      <c r="I275" s="89">
        <f>IF($C$12=3,0,IF($D$13=2,IF($E$13=3,IF($F$18=6,'Input-Output'!$E$16*0.001102*Calculations!H275*0.4536,0),0),0))</f>
        <v>0</v>
      </c>
      <c r="J275" s="15" t="s">
        <v>187</v>
      </c>
    </row>
    <row r="276" spans="3:10" ht="15">
      <c r="C276" s="11"/>
      <c r="D276" s="31"/>
      <c r="E276" s="31"/>
      <c r="F276" s="31" t="s">
        <v>21</v>
      </c>
      <c r="G276" s="12" t="s">
        <v>22</v>
      </c>
      <c r="H276" s="14">
        <v>780</v>
      </c>
      <c r="I276" s="89">
        <f>IF($C$12=3,0,IF($D$13=2,IF($E$13=3,IF($F$18=6,'Input-Output'!$E$16*0.001102*Calculations!H276*0.4536,0),0),0))</f>
        <v>0</v>
      </c>
      <c r="J276" s="15" t="s">
        <v>186</v>
      </c>
    </row>
    <row r="277" spans="3:10" ht="15">
      <c r="C277" s="11"/>
      <c r="D277" s="31"/>
      <c r="E277" s="31"/>
      <c r="F277" s="31" t="s">
        <v>27</v>
      </c>
      <c r="G277" s="12" t="s">
        <v>9</v>
      </c>
      <c r="H277" s="14">
        <v>0.15</v>
      </c>
      <c r="I277" s="89">
        <f>IF($C$12=3,0,IF($D$13=2,IF($E$13=3,IF($F$18=6,'Input-Output'!$E$16*0.001102*Calculations!H277*0.4536,0),0),0))</f>
        <v>0</v>
      </c>
      <c r="J277" s="15" t="s">
        <v>187</v>
      </c>
    </row>
    <row r="278" spans="3:10" ht="15">
      <c r="C278" s="11"/>
      <c r="D278" s="31"/>
      <c r="E278" s="31"/>
      <c r="F278" s="31" t="s">
        <v>28</v>
      </c>
      <c r="G278" s="12" t="s">
        <v>9</v>
      </c>
      <c r="H278" s="14">
        <v>0.26</v>
      </c>
      <c r="I278" s="89">
        <f>IF($C$12=3,0,IF($D$13=2,IF($E$13=3,IF($F$18=6,'Input-Output'!$E$16*0.001102*Calculations!H278*0.4536,0),0),0))</f>
        <v>0</v>
      </c>
      <c r="J278" s="15" t="s">
        <v>188</v>
      </c>
    </row>
    <row r="279" spans="3:10" ht="15">
      <c r="C279" s="11"/>
      <c r="D279" s="31"/>
      <c r="E279" s="31"/>
      <c r="F279" s="31" t="s">
        <v>31</v>
      </c>
      <c r="G279" s="12" t="s">
        <v>32</v>
      </c>
      <c r="H279" s="14">
        <v>0.11</v>
      </c>
      <c r="I279" s="89">
        <f>IF($C$12=3,0,IF($D$13=2,IF($E$13=3,IF($F$18=6,'Input-Output'!$E$16*0.001102*Calculations!H279*0.4536,0),0),0))</f>
        <v>0</v>
      </c>
      <c r="J279" s="15" t="s">
        <v>188</v>
      </c>
    </row>
    <row r="280" spans="3:10" ht="15">
      <c r="C280" s="11"/>
      <c r="D280" s="31"/>
      <c r="E280" s="31"/>
      <c r="F280" s="31" t="s">
        <v>33</v>
      </c>
      <c r="G280" s="12" t="s">
        <v>34</v>
      </c>
      <c r="H280" s="14">
        <v>0.012</v>
      </c>
      <c r="I280" s="89">
        <f>IF($C$12=3,0,IF($D$13=2,IF($E$13=3,IF($F$18=6,'Input-Output'!$E$16*0.001102*Calculations!H280*0.4536,0),0),0))</f>
        <v>0</v>
      </c>
      <c r="J280" s="15" t="s">
        <v>188</v>
      </c>
    </row>
    <row r="281" spans="3:10" ht="15">
      <c r="C281" s="11"/>
      <c r="D281" s="31"/>
      <c r="E281" s="31"/>
      <c r="F281" s="31" t="s">
        <v>35</v>
      </c>
      <c r="G281" s="12" t="s">
        <v>36</v>
      </c>
      <c r="H281" s="14">
        <v>0.031</v>
      </c>
      <c r="I281" s="89">
        <f>IF($C$12=3,0,IF($D$13=2,IF($E$13=3,IF($F$18=6,'Input-Output'!$E$16*0.001102*Calculations!H281*0.4536,0),0),0))</f>
        <v>0</v>
      </c>
      <c r="J281" s="15" t="s">
        <v>188</v>
      </c>
    </row>
    <row r="282" spans="3:10" ht="15">
      <c r="C282" s="11"/>
      <c r="D282" s="31"/>
      <c r="E282" s="31"/>
      <c r="F282" s="31" t="s">
        <v>39</v>
      </c>
      <c r="G282" s="12" t="s">
        <v>40</v>
      </c>
      <c r="H282" s="14">
        <v>0.0041</v>
      </c>
      <c r="I282" s="89">
        <f>IF($C$12=3,0,IF($D$13=2,IF($E$13=3,IF($F$18=6,'Input-Output'!$E$16*0.001102*Calculations!H282*0.4536,0),0),0))</f>
        <v>0</v>
      </c>
      <c r="J282" s="15" t="s">
        <v>187</v>
      </c>
    </row>
    <row r="283" spans="3:10" ht="15">
      <c r="C283" s="11"/>
      <c r="D283" s="31"/>
      <c r="E283" s="31"/>
      <c r="F283" s="31" t="s">
        <v>49</v>
      </c>
      <c r="G283" s="12" t="s">
        <v>50</v>
      </c>
      <c r="H283" s="14">
        <v>0.092</v>
      </c>
      <c r="I283" s="89">
        <f>IF($C$12=3,0,IF($D$13=2,IF($E$13=3,IF($F$18=6,'Input-Output'!$E$16*0.001102*Calculations!H283*0.4536,0),0),0))</f>
        <v>0</v>
      </c>
      <c r="J283" s="15" t="s">
        <v>187</v>
      </c>
    </row>
    <row r="284" spans="3:10" ht="15">
      <c r="C284" s="11"/>
      <c r="D284" s="31"/>
      <c r="E284" s="31"/>
      <c r="F284" s="31" t="s">
        <v>53</v>
      </c>
      <c r="G284" s="12" t="s">
        <v>54</v>
      </c>
      <c r="H284" s="14">
        <v>0.072</v>
      </c>
      <c r="I284" s="89">
        <f>IF($C$12=3,0,IF($D$13=2,IF($E$13=3,IF($F$18=6,'Input-Output'!$E$16*0.001102*Calculations!H284*0.4536,0),0),0))</f>
        <v>0</v>
      </c>
      <c r="J284" s="15" t="s">
        <v>188</v>
      </c>
    </row>
    <row r="285" spans="3:10" ht="15">
      <c r="C285" s="11"/>
      <c r="D285" s="31"/>
      <c r="E285" s="31"/>
      <c r="F285" s="31" t="s">
        <v>65</v>
      </c>
      <c r="G285" s="12" t="s">
        <v>66</v>
      </c>
      <c r="H285" s="14">
        <v>0.0085</v>
      </c>
      <c r="I285" s="89">
        <f>IF($C$12=3,0,IF($D$13=2,IF($E$13=3,IF($F$18=6,'Input-Output'!$E$16*0.001102*Calculations!H285*0.4536,0),0),0))</f>
        <v>0</v>
      </c>
      <c r="J285" s="15" t="s">
        <v>187</v>
      </c>
    </row>
    <row r="286" spans="3:10" ht="15">
      <c r="C286" s="11"/>
      <c r="D286" s="31"/>
      <c r="E286" s="40"/>
      <c r="F286" s="40" t="s">
        <v>67</v>
      </c>
      <c r="G286" s="41" t="s">
        <v>68</v>
      </c>
      <c r="H286" s="42">
        <v>0.0075</v>
      </c>
      <c r="I286" s="189">
        <f>IF($C$12=3,0,IF($D$13=2,IF($E$13=3,IF($F$18=6,'Input-Output'!$E$16*0.001102*Calculations!H286*0.4536,0),0),0))</f>
        <v>0</v>
      </c>
      <c r="J286" s="43" t="s">
        <v>188</v>
      </c>
    </row>
    <row r="287" spans="3:10" ht="18">
      <c r="C287" s="11"/>
      <c r="D287" s="31"/>
      <c r="E287" s="44" t="s">
        <v>139</v>
      </c>
      <c r="F287" s="44" t="s">
        <v>8</v>
      </c>
      <c r="G287" s="45" t="s">
        <v>9</v>
      </c>
      <c r="H287" s="46">
        <v>0.51</v>
      </c>
      <c r="I287" s="190">
        <f>IF($C$12=3,0,IF($D$13=2,IF($E$13=3,IF($F$18=8,'Input-Output'!$E$16*0.001102*Calculations!H287*0.4536,0),0),0))</f>
        <v>0</v>
      </c>
      <c r="J287" s="15" t="s">
        <v>187</v>
      </c>
    </row>
    <row r="288" spans="3:10" ht="18">
      <c r="C288" s="11"/>
      <c r="D288" s="31"/>
      <c r="E288" s="31"/>
      <c r="F288" s="31" t="s">
        <v>133</v>
      </c>
      <c r="G288" s="12" t="s">
        <v>9</v>
      </c>
      <c r="H288" s="14">
        <f>H287*0.61</f>
        <v>0.3111</v>
      </c>
      <c r="I288" s="89">
        <f>IF($C$12=3,0,IF($D$13=2,IF($E$13=3,IF($F$18=8,'Input-Output'!$E$16*0.001102*Calculations!H288*0.4536,0),0),0))</f>
        <v>0</v>
      </c>
      <c r="J288" s="15" t="s">
        <v>187</v>
      </c>
    </row>
    <row r="289" spans="3:10" ht="18">
      <c r="C289" s="11"/>
      <c r="D289" s="31"/>
      <c r="E289" s="31"/>
      <c r="F289" s="31" t="s">
        <v>132</v>
      </c>
      <c r="G289" s="12" t="s">
        <v>9</v>
      </c>
      <c r="H289" s="14">
        <f>H288*0.79</f>
        <v>0.245769</v>
      </c>
      <c r="I289" s="89">
        <f>IF($C$12=3,0,IF($D$13=2,IF($E$13=3,IF($F$18=8,'Input-Output'!$E$16*0.001102*Calculations!H289*0.4536,0),0),0))</f>
        <v>0</v>
      </c>
      <c r="J289" s="15" t="s">
        <v>187</v>
      </c>
    </row>
    <row r="290" spans="3:10" ht="15">
      <c r="C290" s="11"/>
      <c r="D290" s="31"/>
      <c r="E290" s="31"/>
      <c r="F290" s="31" t="s">
        <v>23</v>
      </c>
      <c r="G290" s="12" t="s">
        <v>24</v>
      </c>
      <c r="H290" s="14">
        <v>0.014</v>
      </c>
      <c r="I290" s="89">
        <f>IF($C$12=3,0,IF($D$13=2,IF($E$13=3,IF($F$18=8,'Input-Output'!$E$16*0.001102*Calculations!H290*0.4536,0),0),0))</f>
        <v>0</v>
      </c>
      <c r="J290" s="15" t="s">
        <v>188</v>
      </c>
    </row>
    <row r="291" spans="3:10" ht="15">
      <c r="C291" s="11"/>
      <c r="D291" s="31"/>
      <c r="E291" s="31"/>
      <c r="F291" s="31" t="s">
        <v>18</v>
      </c>
      <c r="G291" s="12" t="s">
        <v>25</v>
      </c>
      <c r="H291" s="14">
        <v>0.42</v>
      </c>
      <c r="I291" s="89">
        <f>IF($C$12=3,0,IF($D$13=2,IF($E$13=3,IF($F$18=8,'Input-Output'!$E$16*0.001102*Calculations!H291*0.4536,0),0),0))</f>
        <v>0</v>
      </c>
      <c r="J291" s="15" t="s">
        <v>187</v>
      </c>
    </row>
    <row r="292" spans="3:10" ht="15">
      <c r="C292" s="11"/>
      <c r="D292" s="31"/>
      <c r="E292" s="31"/>
      <c r="F292" s="31" t="s">
        <v>19</v>
      </c>
      <c r="G292" s="12" t="s">
        <v>20</v>
      </c>
      <c r="H292" s="14">
        <v>1.5</v>
      </c>
      <c r="I292" s="89">
        <f>IF($C$12=3,0,IF($D$13=2,IF($E$13=3,IF($F$18=8,'Input-Output'!$E$16*0.001102*Calculations!H292*0.4536,0),0),0))</f>
        <v>0</v>
      </c>
      <c r="J292" s="15" t="s">
        <v>187</v>
      </c>
    </row>
    <row r="293" spans="3:10" ht="15">
      <c r="C293" s="11"/>
      <c r="D293" s="31"/>
      <c r="E293" s="31"/>
      <c r="F293" s="31" t="s">
        <v>21</v>
      </c>
      <c r="G293" s="12" t="s">
        <v>22</v>
      </c>
      <c r="H293" s="14">
        <v>780</v>
      </c>
      <c r="I293" s="89">
        <f>IF($C$12=3,0,IF($D$13=2,IF($E$13=3,IF($F$18=8,'Input-Output'!$E$16*0.001102*Calculations!H293*0.4536,0),0),0))</f>
        <v>0</v>
      </c>
      <c r="J293" s="15" t="s">
        <v>186</v>
      </c>
    </row>
    <row r="294" spans="3:10" ht="15">
      <c r="C294" s="11"/>
      <c r="D294" s="31"/>
      <c r="E294" s="31"/>
      <c r="F294" s="31" t="s">
        <v>27</v>
      </c>
      <c r="G294" s="12" t="s">
        <v>9</v>
      </c>
      <c r="H294" s="14">
        <v>0.15</v>
      </c>
      <c r="I294" s="89">
        <f>IF($C$12=3,0,IF($D$13=2,IF($E$13=3,IF($F$18=8,'Input-Output'!$E$16*0.001102*Calculations!H294*0.4536,0),0),0))</f>
        <v>0</v>
      </c>
      <c r="J294" s="15" t="s">
        <v>187</v>
      </c>
    </row>
    <row r="295" spans="3:10" ht="15">
      <c r="C295" s="11"/>
      <c r="D295" s="31"/>
      <c r="E295" s="31"/>
      <c r="F295" s="31" t="s">
        <v>28</v>
      </c>
      <c r="G295" s="12" t="s">
        <v>9</v>
      </c>
      <c r="H295" s="14">
        <v>0.26</v>
      </c>
      <c r="I295" s="89">
        <f>IF($C$12=3,0,IF($D$13=2,IF($E$13=3,IF($F$18=8,'Input-Output'!$E$16*0.001102*Calculations!H295*0.4536,0),0),0))</f>
        <v>0</v>
      </c>
      <c r="J295" s="15" t="s">
        <v>188</v>
      </c>
    </row>
    <row r="296" spans="3:10" ht="15">
      <c r="C296" s="11"/>
      <c r="D296" s="31"/>
      <c r="E296" s="31"/>
      <c r="F296" s="31" t="s">
        <v>31</v>
      </c>
      <c r="G296" s="12" t="s">
        <v>32</v>
      </c>
      <c r="H296" s="14">
        <v>0.11</v>
      </c>
      <c r="I296" s="89">
        <f>IF($C$12=3,0,IF($D$13=2,IF($E$13=3,IF($F$18=8,'Input-Output'!$E$16*0.001102*Calculations!H296*0.4536,0),0),0))</f>
        <v>0</v>
      </c>
      <c r="J296" s="15" t="s">
        <v>188</v>
      </c>
    </row>
    <row r="297" spans="3:10" ht="15">
      <c r="C297" s="11"/>
      <c r="D297" s="31"/>
      <c r="E297" s="31"/>
      <c r="F297" s="31" t="s">
        <v>33</v>
      </c>
      <c r="G297" s="12" t="s">
        <v>34</v>
      </c>
      <c r="H297" s="14">
        <v>0.012</v>
      </c>
      <c r="I297" s="89">
        <f>IF($C$12=3,0,IF($D$13=2,IF($E$13=3,IF($F$18=8,'Input-Output'!$E$16*0.001102*Calculations!H297*0.4536,0),0),0))</f>
        <v>0</v>
      </c>
      <c r="J297" s="15" t="s">
        <v>188</v>
      </c>
    </row>
    <row r="298" spans="3:10" ht="15">
      <c r="C298" s="11"/>
      <c r="D298" s="31"/>
      <c r="E298" s="31"/>
      <c r="F298" s="31" t="s">
        <v>35</v>
      </c>
      <c r="G298" s="12" t="s">
        <v>36</v>
      </c>
      <c r="H298" s="14">
        <v>0.031</v>
      </c>
      <c r="I298" s="89">
        <f>IF($C$12=3,0,IF($D$13=2,IF($E$13=3,IF($F$18=8,'Input-Output'!$E$16*0.001102*Calculations!H298*0.4536,0),0),0))</f>
        <v>0</v>
      </c>
      <c r="J298" s="15" t="s">
        <v>188</v>
      </c>
    </row>
    <row r="299" spans="3:10" ht="15">
      <c r="C299" s="11"/>
      <c r="D299" s="31"/>
      <c r="E299" s="31"/>
      <c r="F299" s="31" t="s">
        <v>39</v>
      </c>
      <c r="G299" s="12" t="s">
        <v>40</v>
      </c>
      <c r="H299" s="14">
        <v>0.0041</v>
      </c>
      <c r="I299" s="89">
        <f>IF($C$12=3,0,IF($D$13=2,IF($E$13=3,IF($F$18=8,'Input-Output'!$E$16*0.001102*Calculations!H299*0.4536,0),0),0))</f>
        <v>0</v>
      </c>
      <c r="J299" s="15" t="s">
        <v>187</v>
      </c>
    </row>
    <row r="300" spans="3:10" ht="15">
      <c r="C300" s="11"/>
      <c r="D300" s="31"/>
      <c r="E300" s="31"/>
      <c r="F300" s="31" t="s">
        <v>49</v>
      </c>
      <c r="G300" s="12" t="s">
        <v>50</v>
      </c>
      <c r="H300" s="14">
        <v>0.092</v>
      </c>
      <c r="I300" s="89">
        <f>IF($C$12=3,0,IF($D$13=2,IF($E$13=3,IF($F$18=8,'Input-Output'!$E$16*0.001102*Calculations!H300*0.4536,0),0),0))</f>
        <v>0</v>
      </c>
      <c r="J300" s="15" t="s">
        <v>187</v>
      </c>
    </row>
    <row r="301" spans="3:10" ht="15">
      <c r="C301" s="11"/>
      <c r="D301" s="31"/>
      <c r="E301" s="31"/>
      <c r="F301" s="31" t="s">
        <v>53</v>
      </c>
      <c r="G301" s="12" t="s">
        <v>54</v>
      </c>
      <c r="H301" s="14">
        <v>0.072</v>
      </c>
      <c r="I301" s="89">
        <f>IF($C$12=3,0,IF($D$13=2,IF($E$13=3,IF($F$18=8,'Input-Output'!$E$16*0.001102*Calculations!H301*0.4536,0),0),0))</f>
        <v>0</v>
      </c>
      <c r="J301" s="15" t="s">
        <v>188</v>
      </c>
    </row>
    <row r="302" spans="3:10" ht="15">
      <c r="C302" s="11"/>
      <c r="D302" s="31"/>
      <c r="E302" s="31"/>
      <c r="F302" s="31" t="s">
        <v>65</v>
      </c>
      <c r="G302" s="12" t="s">
        <v>66</v>
      </c>
      <c r="H302" s="14">
        <v>0.0085</v>
      </c>
      <c r="I302" s="89">
        <f>IF($C$12=3,0,IF($D$13=2,IF($E$13=3,IF($F$18=8,'Input-Output'!$E$16*0.001102*Calculations!H302*0.4536,0),0),0))</f>
        <v>0</v>
      </c>
      <c r="J302" s="15" t="s">
        <v>187</v>
      </c>
    </row>
    <row r="303" spans="3:10" ht="15">
      <c r="C303" s="11"/>
      <c r="D303" s="31"/>
      <c r="E303" s="40"/>
      <c r="F303" s="40" t="s">
        <v>67</v>
      </c>
      <c r="G303" s="41" t="s">
        <v>68</v>
      </c>
      <c r="H303" s="42">
        <v>0.0075</v>
      </c>
      <c r="I303" s="189">
        <f>IF($C$12=3,0,IF($D$13=2,IF($E$13=3,IF($F$18=8,'Input-Output'!$E$16*0.001102*Calculations!H303*0.4536,0),0),0))</f>
        <v>0</v>
      </c>
      <c r="J303" s="43" t="s">
        <v>188</v>
      </c>
    </row>
    <row r="304" spans="3:10" ht="18">
      <c r="C304" s="11"/>
      <c r="D304" s="49"/>
      <c r="E304" s="44" t="s">
        <v>140</v>
      </c>
      <c r="F304" s="44" t="s">
        <v>8</v>
      </c>
      <c r="G304" s="45" t="s">
        <v>9</v>
      </c>
      <c r="H304" s="46">
        <v>0.169</v>
      </c>
      <c r="I304" s="190">
        <f>IF($C$12=3,0,IF($D$13=2,IF($E$13=3,IF($F$18=7,'Input-Output'!$E$16*0.001102*Calculations!H304*0.4536,0),0),0))</f>
        <v>0</v>
      </c>
      <c r="J304" s="15" t="s">
        <v>187</v>
      </c>
    </row>
    <row r="305" spans="3:10" ht="18">
      <c r="C305" s="11"/>
      <c r="D305" s="49"/>
      <c r="E305" s="31"/>
      <c r="F305" s="31" t="s">
        <v>133</v>
      </c>
      <c r="G305" s="12" t="s">
        <v>9</v>
      </c>
      <c r="H305" s="77">
        <f>H304*0.61</f>
        <v>0.10309</v>
      </c>
      <c r="I305" s="89">
        <f>IF($C$12=3,0,IF($D$13=2,IF($E$13=3,IF($F$18=7,'Input-Output'!$E$16*0.001102*Calculations!H305*0.4536,0),0),0))</f>
        <v>0</v>
      </c>
      <c r="J305" s="15" t="s">
        <v>187</v>
      </c>
    </row>
    <row r="306" spans="3:10" ht="18">
      <c r="C306" s="11"/>
      <c r="D306" s="31"/>
      <c r="E306" s="31"/>
      <c r="F306" s="31" t="s">
        <v>132</v>
      </c>
      <c r="G306" s="12" t="s">
        <v>9</v>
      </c>
      <c r="H306" s="77">
        <f>H305*0.79</f>
        <v>0.0814411</v>
      </c>
      <c r="I306" s="89">
        <f>IF($C$12=3,0,IF($D$13=2,IF($E$13=3,IF($F$18=7,'Input-Output'!$E$16*0.001102*Calculations!H306*0.4536,0),0),0))</f>
        <v>0</v>
      </c>
      <c r="J306" s="15" t="s">
        <v>187</v>
      </c>
    </row>
    <row r="307" spans="3:10" ht="15">
      <c r="C307" s="11"/>
      <c r="D307" s="31"/>
      <c r="E307" s="31"/>
      <c r="F307" s="31" t="s">
        <v>23</v>
      </c>
      <c r="G307" s="12" t="s">
        <v>24</v>
      </c>
      <c r="H307" s="14">
        <v>0.014</v>
      </c>
      <c r="I307" s="89">
        <f>IF($C$12=3,0,IF($D$13=2,IF($E$13=3,IF($F$18=7,'Input-Output'!$E$16*0.001102*Calculations!H307*0.4536,0),0),0))</f>
        <v>0</v>
      </c>
      <c r="J307" s="15" t="s">
        <v>188</v>
      </c>
    </row>
    <row r="308" spans="3:10" ht="15">
      <c r="C308" s="11"/>
      <c r="D308" s="31"/>
      <c r="E308" s="31"/>
      <c r="F308" s="31" t="s">
        <v>18</v>
      </c>
      <c r="G308" s="12" t="s">
        <v>25</v>
      </c>
      <c r="H308" s="14">
        <v>0.42</v>
      </c>
      <c r="I308" s="89">
        <f>IF($C$12=3,0,IF($D$13=2,IF($E$13=3,IF($F$18=7,'Input-Output'!$E$16*0.001102*Calculations!H308*0.4536,0),0),0))</f>
        <v>0</v>
      </c>
      <c r="J308" s="15" t="s">
        <v>187</v>
      </c>
    </row>
    <row r="309" spans="3:10" ht="15">
      <c r="C309" s="11"/>
      <c r="D309" s="31"/>
      <c r="E309" s="31"/>
      <c r="F309" s="31" t="s">
        <v>19</v>
      </c>
      <c r="G309" s="12" t="s">
        <v>20</v>
      </c>
      <c r="H309" s="14">
        <v>1.5</v>
      </c>
      <c r="I309" s="89">
        <f>IF($C$12=3,0,IF($D$13=2,IF($E$13=3,IF($F$18=7,'Input-Output'!$E$16*0.001102*Calculations!H309*0.4536,0),0),0))</f>
        <v>0</v>
      </c>
      <c r="J309" s="15" t="s">
        <v>187</v>
      </c>
    </row>
    <row r="310" spans="3:10" ht="15">
      <c r="C310" s="11"/>
      <c r="D310" s="31"/>
      <c r="E310" s="31"/>
      <c r="F310" s="31" t="s">
        <v>21</v>
      </c>
      <c r="G310" s="12" t="s">
        <v>22</v>
      </c>
      <c r="H310" s="14">
        <v>780</v>
      </c>
      <c r="I310" s="89">
        <f>IF($C$12=3,0,IF($D$13=2,IF($E$13=3,IF($F$18=7,'Input-Output'!$E$16*0.001102*Calculations!H310*0.4536,0),0),0))</f>
        <v>0</v>
      </c>
      <c r="J310" s="15" t="s">
        <v>186</v>
      </c>
    </row>
    <row r="311" spans="3:10" ht="15">
      <c r="C311" s="11"/>
      <c r="D311" s="31"/>
      <c r="E311" s="31"/>
      <c r="F311" s="31" t="s">
        <v>27</v>
      </c>
      <c r="G311" s="12" t="s">
        <v>9</v>
      </c>
      <c r="H311" s="14">
        <v>0.15</v>
      </c>
      <c r="I311" s="89">
        <f>IF($C$12=3,0,IF($D$13=2,IF($E$13=3,IF($F$18=7,'Input-Output'!$E$16*0.001102*Calculations!H311*0.4536,0),0),0))</f>
        <v>0</v>
      </c>
      <c r="J311" s="15" t="s">
        <v>187</v>
      </c>
    </row>
    <row r="312" spans="3:10" ht="15">
      <c r="C312" s="11"/>
      <c r="D312" s="31"/>
      <c r="E312" s="31"/>
      <c r="F312" s="31" t="s">
        <v>28</v>
      </c>
      <c r="G312" s="12" t="s">
        <v>9</v>
      </c>
      <c r="H312" s="14">
        <v>0.26</v>
      </c>
      <c r="I312" s="89">
        <f>IF($C$12=3,0,IF($D$13=2,IF($E$13=3,IF($F$18=7,'Input-Output'!$E$16*0.001102*Calculations!H312*0.4536,0),0),0))</f>
        <v>0</v>
      </c>
      <c r="J312" s="15" t="s">
        <v>188</v>
      </c>
    </row>
    <row r="313" spans="3:10" ht="15">
      <c r="C313" s="11"/>
      <c r="D313" s="31"/>
      <c r="E313" s="31"/>
      <c r="F313" s="31" t="s">
        <v>31</v>
      </c>
      <c r="G313" s="12" t="s">
        <v>32</v>
      </c>
      <c r="H313" s="14">
        <v>0.11</v>
      </c>
      <c r="I313" s="89">
        <f>IF($C$12=3,0,IF($D$13=2,IF($E$13=3,IF($F$18=7,'Input-Output'!$E$16*0.001102*Calculations!H313*0.4536,0),0),0))</f>
        <v>0</v>
      </c>
      <c r="J313" s="15" t="s">
        <v>188</v>
      </c>
    </row>
    <row r="314" spans="3:10" ht="15">
      <c r="C314" s="11"/>
      <c r="D314" s="31"/>
      <c r="E314" s="31"/>
      <c r="F314" s="31" t="s">
        <v>33</v>
      </c>
      <c r="G314" s="12" t="s">
        <v>34</v>
      </c>
      <c r="H314" s="14">
        <v>0.012</v>
      </c>
      <c r="I314" s="89">
        <f>IF($C$12=3,0,IF($D$13=2,IF($E$13=3,IF($F$18=7,'Input-Output'!$E$16*0.001102*Calculations!H314*0.4536,0),0),0))</f>
        <v>0</v>
      </c>
      <c r="J314" s="15" t="s">
        <v>188</v>
      </c>
    </row>
    <row r="315" spans="3:10" ht="15">
      <c r="C315" s="11"/>
      <c r="D315" s="31"/>
      <c r="E315" s="31"/>
      <c r="F315" s="31" t="s">
        <v>35</v>
      </c>
      <c r="G315" s="12" t="s">
        <v>36</v>
      </c>
      <c r="H315" s="14">
        <v>0.031</v>
      </c>
      <c r="I315" s="89">
        <f>IF($C$12=3,0,IF($D$13=2,IF($E$13=3,IF($F$18=7,'Input-Output'!$E$16*0.001102*Calculations!H315*0.4536,0),0),0))</f>
        <v>0</v>
      </c>
      <c r="J315" s="15" t="s">
        <v>188</v>
      </c>
    </row>
    <row r="316" spans="3:10" ht="15">
      <c r="C316" s="11"/>
      <c r="D316" s="31"/>
      <c r="E316" s="31"/>
      <c r="F316" s="31" t="s">
        <v>39</v>
      </c>
      <c r="G316" s="12" t="s">
        <v>40</v>
      </c>
      <c r="H316" s="14">
        <v>0.0041</v>
      </c>
      <c r="I316" s="89">
        <f>IF($C$12=3,0,IF($D$13=2,IF($E$13=3,IF($F$18=7,'Input-Output'!$E$16*0.001102*Calculations!H316*0.4536,0),0),0))</f>
        <v>0</v>
      </c>
      <c r="J316" s="15" t="s">
        <v>187</v>
      </c>
    </row>
    <row r="317" spans="3:10" ht="15">
      <c r="C317" s="11"/>
      <c r="D317" s="31"/>
      <c r="E317" s="31"/>
      <c r="F317" s="31" t="s">
        <v>49</v>
      </c>
      <c r="G317" s="12" t="s">
        <v>50</v>
      </c>
      <c r="H317" s="14">
        <v>0.092</v>
      </c>
      <c r="I317" s="89">
        <f>IF($C$12=3,0,IF($D$13=2,IF($E$13=3,IF($F$18=7,'Input-Output'!$E$16*0.001102*Calculations!H317*0.4536,0),0),0))</f>
        <v>0</v>
      </c>
      <c r="J317" s="15" t="s">
        <v>187</v>
      </c>
    </row>
    <row r="318" spans="3:10" ht="15">
      <c r="C318" s="11"/>
      <c r="D318" s="31"/>
      <c r="E318" s="31"/>
      <c r="F318" s="31" t="s">
        <v>53</v>
      </c>
      <c r="G318" s="12" t="s">
        <v>54</v>
      </c>
      <c r="H318" s="14">
        <v>0.072</v>
      </c>
      <c r="I318" s="89">
        <f>IF($C$12=3,0,IF($D$13=2,IF($E$13=3,IF($F$18=7,'Input-Output'!$E$16*0.001102*Calculations!H318*0.4536,0),0),0))</f>
        <v>0</v>
      </c>
      <c r="J318" s="15" t="s">
        <v>188</v>
      </c>
    </row>
    <row r="319" spans="3:10" ht="15">
      <c r="C319" s="11"/>
      <c r="D319" s="31"/>
      <c r="E319" s="31"/>
      <c r="F319" s="31" t="s">
        <v>65</v>
      </c>
      <c r="G319" s="12" t="s">
        <v>66</v>
      </c>
      <c r="H319" s="14">
        <v>0.0085</v>
      </c>
      <c r="I319" s="89">
        <f>IF($C$12=3,0,IF($D$13=2,IF($E$13=3,IF($F$18=7,'Input-Output'!$E$16*0.001102*Calculations!H319*0.4536,0),0),0))</f>
        <v>0</v>
      </c>
      <c r="J319" s="15" t="s">
        <v>187</v>
      </c>
    </row>
    <row r="320" spans="3:10" ht="15">
      <c r="C320" s="11"/>
      <c r="D320" s="31"/>
      <c r="E320" s="40"/>
      <c r="F320" s="40" t="s">
        <v>67</v>
      </c>
      <c r="G320" s="41" t="s">
        <v>68</v>
      </c>
      <c r="H320" s="42">
        <v>0.0075</v>
      </c>
      <c r="I320" s="189">
        <f>IF($C$12=3,0,IF($D$13=2,IF($E$13=3,IF($F$18=7,'Input-Output'!$E$16*0.001102*Calculations!H320*0.4536,0),0),0))</f>
        <v>0</v>
      </c>
      <c r="J320" s="43" t="s">
        <v>188</v>
      </c>
    </row>
    <row r="321" spans="3:11" ht="18">
      <c r="C321" s="11"/>
      <c r="D321" s="49"/>
      <c r="E321" s="44" t="s">
        <v>221</v>
      </c>
      <c r="F321" s="44" t="s">
        <v>195</v>
      </c>
      <c r="G321" s="45" t="s">
        <v>9</v>
      </c>
      <c r="H321" s="83">
        <f>6.1*1.3/5.8</f>
        <v>1.3672413793103448</v>
      </c>
      <c r="I321" s="87">
        <f>IF($C$12=3,0,IF($D$13=2,IF($E$13=3,IF($F$18=9,'Input-Output'!$E$16*0.001102*Calculations!H321*0.4536,0),0),0))</f>
        <v>0</v>
      </c>
      <c r="J321" s="46" t="s">
        <v>187</v>
      </c>
      <c r="K321" s="24"/>
    </row>
    <row r="322" spans="3:11" ht="18">
      <c r="C322" s="11"/>
      <c r="D322" s="49"/>
      <c r="E322" s="31"/>
      <c r="F322" s="31" t="s">
        <v>133</v>
      </c>
      <c r="G322" s="12" t="s">
        <v>9</v>
      </c>
      <c r="H322" s="76">
        <f>H321*0.61</f>
        <v>0.8340172413793103</v>
      </c>
      <c r="I322" s="13">
        <f>IF($C$12=3,0,IF($D$13=2,IF($E$13=3,IF($F$18=9,'Input-Output'!$E$16*0.001102*Calculations!H322*0.4536,0),0),0))</f>
        <v>0</v>
      </c>
      <c r="J322" s="14" t="s">
        <v>187</v>
      </c>
      <c r="K322" s="24"/>
    </row>
    <row r="323" spans="3:11" ht="18">
      <c r="C323" s="11"/>
      <c r="D323" s="31"/>
      <c r="E323" s="31"/>
      <c r="F323" s="31" t="s">
        <v>132</v>
      </c>
      <c r="G323" s="12" t="s">
        <v>9</v>
      </c>
      <c r="H323" s="76">
        <f>H322*0.79</f>
        <v>0.6588736206896552</v>
      </c>
      <c r="I323" s="13">
        <f>IF($C$12=3,0,IF($D$13=2,IF($E$13=3,IF($F$18=9,'Input-Output'!$E$16*0.001102*Calculations!H323*0.4536,0),0),0))</f>
        <v>0</v>
      </c>
      <c r="J323" s="14" t="s">
        <v>187</v>
      </c>
      <c r="K323" s="24"/>
    </row>
    <row r="324" spans="3:11" ht="15">
      <c r="C324" s="11"/>
      <c r="D324" s="31"/>
      <c r="E324" s="31"/>
      <c r="F324" s="31" t="s">
        <v>18</v>
      </c>
      <c r="G324" s="12" t="s">
        <v>25</v>
      </c>
      <c r="H324" s="14">
        <v>0.63</v>
      </c>
      <c r="I324" s="13">
        <f>IF($C$12=3,0,IF($D$13=2,IF($E$13=3,IF($F$18=9,'Input-Output'!$E$16*0.001102*Calculations!H324*0.4536,0),0),0))</f>
        <v>0</v>
      </c>
      <c r="J324" s="14" t="s">
        <v>189</v>
      </c>
      <c r="K324" s="24"/>
    </row>
    <row r="325" spans="3:11" ht="15">
      <c r="C325" s="11"/>
      <c r="D325" s="31"/>
      <c r="E325" s="31"/>
      <c r="F325" s="31" t="s">
        <v>19</v>
      </c>
      <c r="G325" s="12" t="s">
        <v>20</v>
      </c>
      <c r="H325" s="14">
        <v>5.5</v>
      </c>
      <c r="I325" s="13">
        <f>IF($C$12=3,0,IF($D$13=2,IF($E$13=3,IF($F$18=9,'Input-Output'!$E$16*0.001102*Calculations!H325*0.4536,0),0),0))</f>
        <v>0</v>
      </c>
      <c r="J325" s="14" t="s">
        <v>189</v>
      </c>
      <c r="K325" s="24"/>
    </row>
    <row r="326" spans="3:11" ht="15">
      <c r="C326" s="11"/>
      <c r="D326" s="31"/>
      <c r="E326" s="31"/>
      <c r="F326" s="31" t="s">
        <v>21</v>
      </c>
      <c r="G326" s="12" t="s">
        <v>22</v>
      </c>
      <c r="H326" s="14">
        <v>680</v>
      </c>
      <c r="I326" s="13">
        <f>IF($C$12=3,0,IF($D$13=2,IF($E$13=3,IF($F$18=9,'Input-Output'!$E$16*0.001102*Calculations!H326*0.4536,0),0),0))</f>
        <v>0</v>
      </c>
      <c r="J326" s="14" t="s">
        <v>189</v>
      </c>
      <c r="K326" s="24"/>
    </row>
    <row r="327" spans="3:11" ht="15">
      <c r="C327" s="11"/>
      <c r="D327" s="31"/>
      <c r="E327" s="31"/>
      <c r="F327" s="31" t="s">
        <v>27</v>
      </c>
      <c r="G327" s="12" t="s">
        <v>9</v>
      </c>
      <c r="H327" s="14">
        <v>1.7</v>
      </c>
      <c r="I327" s="13">
        <f>IF($C$12=3,0,IF($D$13=2,IF($E$13=3,IF($F$18=9,'Input-Output'!$E$16*0.001102*Calculations!H327*0.4536,0),0),0))</f>
        <v>0</v>
      </c>
      <c r="J327" s="14" t="s">
        <v>189</v>
      </c>
      <c r="K327" s="24"/>
    </row>
    <row r="328" spans="3:11" ht="15">
      <c r="C328" s="11"/>
      <c r="D328" s="31"/>
      <c r="E328" s="31"/>
      <c r="F328" s="31" t="s">
        <v>28</v>
      </c>
      <c r="G328" s="12" t="s">
        <v>9</v>
      </c>
      <c r="H328" s="14">
        <v>2.1</v>
      </c>
      <c r="I328" s="13">
        <f>IF($C$12=3,0,IF($D$13=2,IF($E$13=3,IF($F$18=9,'Input-Output'!$E$16*0.001102*Calculations!H328*0.4536,0),0),0))</f>
        <v>0</v>
      </c>
      <c r="J328" s="14" t="s">
        <v>186</v>
      </c>
      <c r="K328" s="24"/>
    </row>
    <row r="329" spans="3:11" ht="15">
      <c r="C329" s="11"/>
      <c r="D329" s="31"/>
      <c r="E329" s="31"/>
      <c r="F329" s="31" t="s">
        <v>31</v>
      </c>
      <c r="G329" s="12" t="s">
        <v>32</v>
      </c>
      <c r="H329" s="14">
        <v>0.62</v>
      </c>
      <c r="I329" s="13">
        <f>IF($C$12=3,0,IF($D$13=2,IF($E$13=3,IF($F$18=9,'Input-Output'!$E$16*0.001102*Calculations!H329*0.4536,0),0),0))</f>
        <v>0</v>
      </c>
      <c r="J329" s="14" t="s">
        <v>188</v>
      </c>
      <c r="K329" s="24"/>
    </row>
    <row r="330" spans="3:11" ht="15">
      <c r="C330" s="11"/>
      <c r="D330" s="31"/>
      <c r="E330" s="31"/>
      <c r="F330" s="31" t="s">
        <v>33</v>
      </c>
      <c r="G330" s="12" t="s">
        <v>34</v>
      </c>
      <c r="H330" s="14">
        <v>0.041</v>
      </c>
      <c r="I330" s="13">
        <f>IF($C$12=3,0,IF($D$13=2,IF($E$13=3,IF($F$18=9,'Input-Output'!$E$16*0.001102*Calculations!H330*0.4536,0),0),0))</f>
        <v>0</v>
      </c>
      <c r="J330" s="14" t="s">
        <v>188</v>
      </c>
      <c r="K330" s="24"/>
    </row>
    <row r="331" spans="3:11" ht="15">
      <c r="C331" s="11"/>
      <c r="D331" s="31"/>
      <c r="E331" s="31"/>
      <c r="F331" s="31" t="s">
        <v>35</v>
      </c>
      <c r="G331" s="12" t="s">
        <v>36</v>
      </c>
      <c r="H331" s="14">
        <v>0.2</v>
      </c>
      <c r="I331" s="13">
        <f>IF($C$12=3,0,IF($D$13=2,IF($E$13=3,IF($F$18=9,'Input-Output'!$E$16*0.001102*Calculations!H331*0.4536,0),0),0))</f>
        <v>0</v>
      </c>
      <c r="J331" s="14" t="s">
        <v>188</v>
      </c>
      <c r="K331" s="24"/>
    </row>
    <row r="332" spans="3:11" ht="15">
      <c r="C332" s="11"/>
      <c r="D332" s="31"/>
      <c r="E332" s="31"/>
      <c r="F332" s="31" t="s">
        <v>39</v>
      </c>
      <c r="G332" s="12" t="s">
        <v>40</v>
      </c>
      <c r="H332" s="14">
        <v>0.01</v>
      </c>
      <c r="I332" s="13">
        <f>IF($C$12=3,0,IF($D$13=2,IF($E$13=3,IF($F$18=9,'Input-Output'!$E$16*0.001102*Calculations!H332*0.4536,0),0),0))</f>
        <v>0</v>
      </c>
      <c r="J332" s="14" t="s">
        <v>187</v>
      </c>
      <c r="K332" s="24"/>
    </row>
    <row r="333" spans="3:11" ht="15">
      <c r="C333" s="11"/>
      <c r="D333" s="31"/>
      <c r="E333" s="31"/>
      <c r="F333" s="31" t="s">
        <v>49</v>
      </c>
      <c r="G333" s="12" t="s">
        <v>50</v>
      </c>
      <c r="H333" s="14">
        <v>0.11</v>
      </c>
      <c r="I333" s="13">
        <f>IF($C$12=3,0,IF($D$13=2,IF($E$13=3,IF($F$18=9,'Input-Output'!$E$16*0.001102*Calculations!H333*0.4536,0),0),0))</f>
        <v>0</v>
      </c>
      <c r="J333" s="14" t="s">
        <v>189</v>
      </c>
      <c r="K333" s="24"/>
    </row>
    <row r="334" spans="3:11" ht="15">
      <c r="C334" s="11"/>
      <c r="D334" s="31"/>
      <c r="E334" s="31"/>
      <c r="F334" s="31" t="s">
        <v>53</v>
      </c>
      <c r="G334" s="12" t="s">
        <v>54</v>
      </c>
      <c r="H334" s="14">
        <v>0.33</v>
      </c>
      <c r="I334" s="13">
        <f>IF($C$12=3,0,IF($D$13=2,IF($E$13=3,IF($F$18=9,'Input-Output'!$E$16*0.001102*Calculations!H334*0.4536,0),0),0))</f>
        <v>0</v>
      </c>
      <c r="J334" s="14" t="s">
        <v>188</v>
      </c>
      <c r="K334" s="24"/>
    </row>
    <row r="335" spans="3:11" ht="15">
      <c r="C335" s="11"/>
      <c r="D335" s="31"/>
      <c r="E335" s="31"/>
      <c r="F335" s="31" t="s">
        <v>55</v>
      </c>
      <c r="G335" s="12" t="s">
        <v>56</v>
      </c>
      <c r="H335" s="14">
        <v>0.0071</v>
      </c>
      <c r="I335" s="13">
        <f>IF($C$12=3,0,IF($D$13=2,IF($E$13=3,IF($F$18=9,'Input-Output'!$E$16*0.001102*Calculations!H335*0.4536,0),0),0))</f>
        <v>0</v>
      </c>
      <c r="J335" s="14" t="s">
        <v>188</v>
      </c>
      <c r="K335" s="24"/>
    </row>
    <row r="336" spans="3:11" ht="15">
      <c r="C336" s="11"/>
      <c r="D336" s="31"/>
      <c r="E336" s="31"/>
      <c r="F336" s="31" t="s">
        <v>65</v>
      </c>
      <c r="G336" s="12" t="s">
        <v>66</v>
      </c>
      <c r="H336" s="14">
        <v>0.028</v>
      </c>
      <c r="I336" s="13">
        <f>IF($C$12=3,0,IF($D$13=2,IF($E$13=3,IF($F$18=9,'Input-Output'!$E$16*0.001102*Calculations!H336*0.4536,0),0),0))</f>
        <v>0</v>
      </c>
      <c r="J336" s="14" t="s">
        <v>188</v>
      </c>
      <c r="K336" s="24"/>
    </row>
    <row r="337" spans="3:11" ht="15">
      <c r="C337" s="11"/>
      <c r="D337" s="31"/>
      <c r="E337" s="31"/>
      <c r="F337" s="31" t="s">
        <v>67</v>
      </c>
      <c r="G337" s="12" t="s">
        <v>68</v>
      </c>
      <c r="H337" s="14">
        <v>0.034</v>
      </c>
      <c r="I337" s="13">
        <f>IF($C$12=3,0,IF($D$13=2,IF($E$13=3,IF($F$18=9,'Input-Output'!$E$16*0.001102*Calculations!H337*0.4536,0),0),0))</f>
        <v>0</v>
      </c>
      <c r="J337" s="14" t="s">
        <v>188</v>
      </c>
      <c r="K337" s="24"/>
    </row>
    <row r="338" spans="3:11" ht="15">
      <c r="C338" s="11"/>
      <c r="D338" s="31"/>
      <c r="E338" s="31"/>
      <c r="F338" s="31" t="s">
        <v>71</v>
      </c>
      <c r="G338" s="12" t="s">
        <v>72</v>
      </c>
      <c r="H338" s="14">
        <v>0.0034</v>
      </c>
      <c r="I338" s="13">
        <f>IF($C$12=3,0,IF($D$13=2,IF($E$13=3,IF($F$18=9,'Input-Output'!$E$16*0.001102*Calculations!H338*0.4536,0),0),0))</f>
        <v>0</v>
      </c>
      <c r="J338" s="14" t="s">
        <v>188</v>
      </c>
      <c r="K338" s="24"/>
    </row>
    <row r="339" spans="3:11" ht="15">
      <c r="C339" s="48"/>
      <c r="D339" s="40"/>
      <c r="E339" s="40"/>
      <c r="F339" s="40" t="s">
        <v>69</v>
      </c>
      <c r="G339" s="41" t="s">
        <v>70</v>
      </c>
      <c r="H339" s="42">
        <v>0.013</v>
      </c>
      <c r="I339" s="85">
        <f>IF($C$12=3,0,IF($D$13=2,IF($E$13=3,IF($F$18=9,'Input-Output'!$E$16*0.001102*Calculations!H339*0.4536,0),0),0))</f>
        <v>0</v>
      </c>
      <c r="J339" s="42" t="s">
        <v>188</v>
      </c>
      <c r="K339" s="24"/>
    </row>
    <row r="340" spans="3:10" ht="15">
      <c r="C340" s="11" t="s">
        <v>5</v>
      </c>
      <c r="D340" s="31" t="s">
        <v>15</v>
      </c>
      <c r="E340" s="31" t="s">
        <v>7</v>
      </c>
      <c r="F340" s="31" t="s">
        <v>8</v>
      </c>
      <c r="G340" s="12" t="s">
        <v>9</v>
      </c>
      <c r="H340" s="14">
        <v>5.8</v>
      </c>
      <c r="I340" s="89">
        <f>IF($C$12=3,0,IF($D$13=2,IF($E$13=4,IF($F$18=2,'Input-Output'!$E$16*0.001102*Calculations!H340*0.4536,0),0),0))</f>
        <v>0</v>
      </c>
      <c r="J340" s="15" t="s">
        <v>187</v>
      </c>
    </row>
    <row r="341" spans="3:10" ht="18">
      <c r="C341" s="11"/>
      <c r="D341" s="31"/>
      <c r="E341" s="31"/>
      <c r="F341" s="31" t="s">
        <v>133</v>
      </c>
      <c r="G341" s="12" t="s">
        <v>9</v>
      </c>
      <c r="H341" s="76">
        <f>H340*0.61</f>
        <v>3.538</v>
      </c>
      <c r="I341" s="89">
        <f>IF($C$12=3,0,IF($D$13=2,IF($E$13=4,IF($F$18=2,'Input-Output'!$E$16*0.001102*Calculations!H341*0.4536,0),0),0))</f>
        <v>0</v>
      </c>
      <c r="J341" s="15" t="s">
        <v>187</v>
      </c>
    </row>
    <row r="342" spans="3:10" ht="18">
      <c r="C342" s="11"/>
      <c r="D342" s="31"/>
      <c r="E342" s="31"/>
      <c r="F342" s="31" t="s">
        <v>132</v>
      </c>
      <c r="G342" s="12" t="s">
        <v>9</v>
      </c>
      <c r="H342" s="76">
        <f>H341*0.79</f>
        <v>2.79502</v>
      </c>
      <c r="I342" s="89">
        <f>IF($C$12=3,0,IF($D$13=2,IF($E$13=4,IF($F$18=2,'Input-Output'!$E$16*0.001102*Calculations!H342*0.4536,0),0),0))</f>
        <v>0</v>
      </c>
      <c r="J342" s="15" t="s">
        <v>187</v>
      </c>
    </row>
    <row r="343" spans="3:10" ht="15">
      <c r="C343" s="11"/>
      <c r="D343" s="31"/>
      <c r="E343" s="31"/>
      <c r="F343" s="31" t="s">
        <v>18</v>
      </c>
      <c r="G343" s="12" t="s">
        <v>25</v>
      </c>
      <c r="H343" s="14">
        <v>0.51</v>
      </c>
      <c r="I343" s="89">
        <f>IF($C$12=3,0,IF($D$13=2,IF($E$13=4,IF($F$18=2,'Input-Output'!$E$16*0.001102*Calculations!H343*0.4536,0),0),0))</f>
        <v>0</v>
      </c>
      <c r="J343" s="15" t="s">
        <v>187</v>
      </c>
    </row>
    <row r="344" spans="3:10" ht="15">
      <c r="C344" s="11"/>
      <c r="D344" s="31"/>
      <c r="E344" s="31"/>
      <c r="F344" s="31" t="s">
        <v>19</v>
      </c>
      <c r="G344" s="12" t="s">
        <v>20</v>
      </c>
      <c r="H344" s="14">
        <v>5.9</v>
      </c>
      <c r="I344" s="89">
        <f>IF($C$12=3,0,IF($D$13=2,IF($E$13=4,IF($F$18=2,'Input-Output'!$E$16*0.001102*Calculations!H344*0.4536,0),0),0))</f>
        <v>0</v>
      </c>
      <c r="J344" s="15" t="s">
        <v>187</v>
      </c>
    </row>
    <row r="345" spans="3:10" ht="15">
      <c r="C345" s="11"/>
      <c r="D345" s="31"/>
      <c r="E345" s="31"/>
      <c r="F345" s="31" t="s">
        <v>21</v>
      </c>
      <c r="G345" s="12" t="s">
        <v>22</v>
      </c>
      <c r="H345" s="14">
        <v>670</v>
      </c>
      <c r="I345" s="89">
        <f>IF($C$12=3,0,IF($D$13=2,IF($E$13=4,IF($F$18=2,'Input-Output'!$E$16*0.001102*Calculations!H345*0.4536,0),0),0))</f>
        <v>0</v>
      </c>
      <c r="J345" s="15" t="s">
        <v>188</v>
      </c>
    </row>
    <row r="346" spans="3:10" ht="15">
      <c r="C346" s="11"/>
      <c r="D346" s="31"/>
      <c r="E346" s="31"/>
      <c r="F346" s="31" t="s">
        <v>27</v>
      </c>
      <c r="G346" s="12" t="s">
        <v>9</v>
      </c>
      <c r="H346" s="14">
        <v>3.4</v>
      </c>
      <c r="I346" s="89">
        <f>IF($C$12=3,0,IF($D$13=2,IF($E$13=4,IF($F$18=2,'Input-Output'!$E$16*0.001102*Calculations!H346*0.4536,0),0),0))</f>
        <v>0</v>
      </c>
      <c r="J346" s="15" t="s">
        <v>187</v>
      </c>
    </row>
    <row r="347" spans="3:10" ht="15">
      <c r="C347" s="11"/>
      <c r="D347" s="31"/>
      <c r="E347" s="31"/>
      <c r="F347" s="31" t="s">
        <v>28</v>
      </c>
      <c r="G347" s="12" t="s">
        <v>9</v>
      </c>
      <c r="H347" s="14">
        <v>4.4</v>
      </c>
      <c r="I347" s="89">
        <f>IF($C$12=3,0,IF($D$13=2,IF($E$13=4,IF($F$18=2,'Input-Output'!$E$16*0.001102*Calculations!H347*0.4536,0),0),0))</f>
        <v>0</v>
      </c>
      <c r="J347" s="15" t="s">
        <v>188</v>
      </c>
    </row>
    <row r="348" spans="3:10" ht="15">
      <c r="C348" s="11"/>
      <c r="D348" s="31"/>
      <c r="E348" s="31"/>
      <c r="F348" s="31" t="s">
        <v>31</v>
      </c>
      <c r="G348" s="12" t="s">
        <v>32</v>
      </c>
      <c r="H348" s="14">
        <v>0.11</v>
      </c>
      <c r="I348" s="89">
        <f>IF($C$12=3,0,IF($D$13=2,IF($E$13=4,IF($F$18=2,'Input-Output'!$E$16*0.001102*Calculations!H348*0.4536,0),0),0))</f>
        <v>0</v>
      </c>
      <c r="J348" s="15" t="s">
        <v>187</v>
      </c>
    </row>
    <row r="349" spans="3:10" ht="15">
      <c r="C349" s="11"/>
      <c r="D349" s="31"/>
      <c r="E349" s="31"/>
      <c r="F349" s="31" t="s">
        <v>33</v>
      </c>
      <c r="G349" s="12" t="s">
        <v>34</v>
      </c>
      <c r="H349" s="14">
        <v>0.039</v>
      </c>
      <c r="I349" s="89">
        <f>IF($C$12=3,0,IF($D$13=2,IF($E$13=4,IF($F$18=2,'Input-Output'!$E$16*0.001102*Calculations!H349*0.4536,0),0),0))</f>
        <v>0</v>
      </c>
      <c r="J349" s="15" t="s">
        <v>188</v>
      </c>
    </row>
    <row r="350" spans="3:10" ht="15">
      <c r="C350" s="11"/>
      <c r="D350" s="31"/>
      <c r="E350" s="31"/>
      <c r="F350" s="31" t="s">
        <v>35</v>
      </c>
      <c r="G350" s="12" t="s">
        <v>36</v>
      </c>
      <c r="H350" s="14">
        <v>0.033</v>
      </c>
      <c r="I350" s="89">
        <f>IF($C$12=3,0,IF($D$13=2,IF($E$13=4,IF($F$18=2,'Input-Output'!$E$16*0.001102*Calculations!H350*0.4536,0),0),0))</f>
        <v>0</v>
      </c>
      <c r="J350" s="15" t="s">
        <v>188</v>
      </c>
    </row>
    <row r="351" spans="3:10" ht="15">
      <c r="C351" s="11"/>
      <c r="D351" s="31"/>
      <c r="E351" s="31"/>
      <c r="F351" s="31" t="s">
        <v>73</v>
      </c>
      <c r="G351" s="12" t="s">
        <v>74</v>
      </c>
      <c r="H351" s="14">
        <v>0.017</v>
      </c>
      <c r="I351" s="89">
        <f>IF($C$12=3,0,IF($D$13=2,IF($E$13=4,IF($F$18=2,'Input-Output'!$E$16*0.001102*Calculations!H351*0.4536,0),0),0))</f>
        <v>0</v>
      </c>
      <c r="J351" s="15" t="s">
        <v>188</v>
      </c>
    </row>
    <row r="352" spans="3:10" ht="15">
      <c r="C352" s="11"/>
      <c r="D352" s="31"/>
      <c r="E352" s="31"/>
      <c r="F352" s="31" t="s">
        <v>75</v>
      </c>
      <c r="G352" s="12" t="s">
        <v>76</v>
      </c>
      <c r="H352" s="14">
        <v>0.011</v>
      </c>
      <c r="I352" s="89">
        <f>IF($C$12=3,0,IF($D$13=2,IF($E$13=4,IF($F$18=2,'Input-Output'!$E$16*0.001102*Calculations!H352*0.4536,0),0),0))</f>
        <v>0</v>
      </c>
      <c r="J352" s="15" t="s">
        <v>188</v>
      </c>
    </row>
    <row r="353" spans="3:10" ht="15">
      <c r="C353" s="11"/>
      <c r="D353" s="31"/>
      <c r="E353" s="31"/>
      <c r="F353" s="31" t="s">
        <v>49</v>
      </c>
      <c r="G353" s="12" t="s">
        <v>50</v>
      </c>
      <c r="H353" s="14">
        <v>0.34</v>
      </c>
      <c r="I353" s="89">
        <f>IF($C$12=3,0,IF($D$13=2,IF($E$13=4,IF($F$18=2,'Input-Output'!$E$16*0.001102*Calculations!H353*0.4536,0),0),0))</f>
        <v>0</v>
      </c>
      <c r="J353" s="15" t="s">
        <v>187</v>
      </c>
    </row>
    <row r="354" spans="3:10" ht="15">
      <c r="C354" s="11"/>
      <c r="D354" s="31"/>
      <c r="E354" s="40"/>
      <c r="F354" s="40" t="s">
        <v>67</v>
      </c>
      <c r="G354" s="41" t="s">
        <v>68</v>
      </c>
      <c r="H354" s="42">
        <v>0.0098</v>
      </c>
      <c r="I354" s="189">
        <f>IF($C$12=3,0,IF($D$13=2,IF($E$13=4,IF($F$18=2,'Input-Output'!$E$16*0.001102*Calculations!H354*0.4536,0),0),0))</f>
        <v>0</v>
      </c>
      <c r="J354" s="43" t="s">
        <v>187</v>
      </c>
    </row>
    <row r="355" spans="3:10" ht="18">
      <c r="C355" s="11"/>
      <c r="D355" s="31"/>
      <c r="E355" s="44" t="s">
        <v>135</v>
      </c>
      <c r="F355" s="44" t="s">
        <v>8</v>
      </c>
      <c r="G355" s="45" t="s">
        <v>9</v>
      </c>
      <c r="H355" s="46">
        <v>4.8</v>
      </c>
      <c r="I355" s="190">
        <f>IF($C$12=3,0,IF($D$13=2,IF($E$13=4,IF($F$18=3,'Input-Output'!$E$16*0.001102*Calculations!H355*0.4536,0),0),0))</f>
        <v>0</v>
      </c>
      <c r="J355" s="15" t="s">
        <v>188</v>
      </c>
    </row>
    <row r="356" spans="3:10" ht="18">
      <c r="C356" s="11"/>
      <c r="D356" s="31"/>
      <c r="E356" s="31"/>
      <c r="F356" s="31" t="s">
        <v>133</v>
      </c>
      <c r="G356" s="12" t="s">
        <v>9</v>
      </c>
      <c r="H356" s="75">
        <f>H355*0.61</f>
        <v>2.928</v>
      </c>
      <c r="I356" s="89">
        <f>IF($C$12=3,0,IF($D$13=2,IF($E$13=4,IF($F$18=3,'Input-Output'!$E$16*0.001102*Calculations!H356*0.4536,0),0),0))</f>
        <v>0</v>
      </c>
      <c r="J356" s="15" t="s">
        <v>188</v>
      </c>
    </row>
    <row r="357" spans="3:10" ht="18">
      <c r="C357" s="11"/>
      <c r="D357" s="31"/>
      <c r="E357" s="31"/>
      <c r="F357" s="31" t="s">
        <v>132</v>
      </c>
      <c r="G357" s="12" t="s">
        <v>9</v>
      </c>
      <c r="H357" s="75">
        <f>H356*0.79</f>
        <v>2.31312</v>
      </c>
      <c r="I357" s="89">
        <f>IF($C$12=3,0,IF($D$13=2,IF($E$13=4,IF($F$18=3,'Input-Output'!$E$16*0.001102*Calculations!H357*0.4536,0),0),0))</f>
        <v>0</v>
      </c>
      <c r="J357" s="15" t="s">
        <v>188</v>
      </c>
    </row>
    <row r="358" spans="3:10" ht="15">
      <c r="C358" s="11"/>
      <c r="D358" s="31"/>
      <c r="E358" s="31"/>
      <c r="F358" s="31" t="s">
        <v>18</v>
      </c>
      <c r="G358" s="12" t="s">
        <v>25</v>
      </c>
      <c r="H358" s="14">
        <v>0.51</v>
      </c>
      <c r="I358" s="89">
        <f>IF($C$12=3,0,IF($D$13=2,IF($E$13=4,IF($F$18=3,'Input-Output'!$E$16*0.001102*Calculations!H358*0.4536,0),0),0))</f>
        <v>0</v>
      </c>
      <c r="J358" s="15" t="s">
        <v>187</v>
      </c>
    </row>
    <row r="359" spans="3:10" ht="15">
      <c r="C359" s="11"/>
      <c r="D359" s="31"/>
      <c r="E359" s="31"/>
      <c r="F359" s="31" t="s">
        <v>19</v>
      </c>
      <c r="G359" s="12" t="s">
        <v>20</v>
      </c>
      <c r="H359" s="14">
        <v>5.9</v>
      </c>
      <c r="I359" s="89">
        <f>IF($C$12=3,0,IF($D$13=2,IF($E$13=4,IF($F$18=3,'Input-Output'!$E$16*0.001102*Calculations!H359*0.4536,0),0),0))</f>
        <v>0</v>
      </c>
      <c r="J359" s="15" t="s">
        <v>187</v>
      </c>
    </row>
    <row r="360" spans="3:10" ht="15">
      <c r="C360" s="11"/>
      <c r="D360" s="31"/>
      <c r="E360" s="31"/>
      <c r="F360" s="31" t="s">
        <v>21</v>
      </c>
      <c r="G360" s="12" t="s">
        <v>22</v>
      </c>
      <c r="H360" s="14">
        <v>670</v>
      </c>
      <c r="I360" s="89">
        <f>IF($C$12=3,0,IF($D$13=2,IF($E$13=4,IF($F$18=3,'Input-Output'!$E$16*0.001102*Calculations!H360*0.4536,0),0),0))</f>
        <v>0</v>
      </c>
      <c r="J360" s="15" t="s">
        <v>188</v>
      </c>
    </row>
    <row r="361" spans="3:10" ht="15">
      <c r="C361" s="11"/>
      <c r="D361" s="31"/>
      <c r="E361" s="31"/>
      <c r="F361" s="31" t="s">
        <v>27</v>
      </c>
      <c r="G361" s="12" t="s">
        <v>9</v>
      </c>
      <c r="H361" s="14">
        <v>3.4</v>
      </c>
      <c r="I361" s="89">
        <f>IF($C$12=3,0,IF($D$13=2,IF($E$13=4,IF($F$18=3,'Input-Output'!$E$16*0.001102*Calculations!H361*0.4536,0),0),0))</f>
        <v>0</v>
      </c>
      <c r="J361" s="15" t="s">
        <v>187</v>
      </c>
    </row>
    <row r="362" spans="3:10" ht="15">
      <c r="C362" s="11"/>
      <c r="D362" s="31"/>
      <c r="E362" s="31"/>
      <c r="F362" s="31" t="s">
        <v>28</v>
      </c>
      <c r="G362" s="12" t="s">
        <v>9</v>
      </c>
      <c r="H362" s="14">
        <v>4.4</v>
      </c>
      <c r="I362" s="89">
        <f>IF($C$12=3,0,IF($D$13=2,IF($E$13=4,IF($F$18=3,'Input-Output'!$E$16*0.001102*Calculations!H362*0.4536,0),0),0))</f>
        <v>0</v>
      </c>
      <c r="J362" s="15" t="s">
        <v>188</v>
      </c>
    </row>
    <row r="363" spans="3:10" ht="15">
      <c r="C363" s="11"/>
      <c r="D363" s="31"/>
      <c r="E363" s="31"/>
      <c r="F363" s="31" t="s">
        <v>31</v>
      </c>
      <c r="G363" s="12" t="s">
        <v>32</v>
      </c>
      <c r="H363" s="14">
        <v>0.11</v>
      </c>
      <c r="I363" s="89">
        <f>IF($C$12=3,0,IF($D$13=2,IF($E$13=4,IF($F$18=3,'Input-Output'!$E$16*0.001102*Calculations!H363*0.4536,0),0),0))</f>
        <v>0</v>
      </c>
      <c r="J363" s="15" t="s">
        <v>187</v>
      </c>
    </row>
    <row r="364" spans="3:10" ht="15">
      <c r="C364" s="11"/>
      <c r="D364" s="31"/>
      <c r="E364" s="31"/>
      <c r="F364" s="31" t="s">
        <v>33</v>
      </c>
      <c r="G364" s="12" t="s">
        <v>34</v>
      </c>
      <c r="H364" s="14">
        <v>0.039</v>
      </c>
      <c r="I364" s="89">
        <f>IF($C$12=3,0,IF($D$13=2,IF($E$13=4,IF($F$18=3,'Input-Output'!$E$16*0.001102*Calculations!H364*0.4536,0),0),0))</f>
        <v>0</v>
      </c>
      <c r="J364" s="15" t="s">
        <v>188</v>
      </c>
    </row>
    <row r="365" spans="3:10" ht="15">
      <c r="C365" s="11"/>
      <c r="D365" s="31"/>
      <c r="E365" s="31"/>
      <c r="F365" s="31" t="s">
        <v>35</v>
      </c>
      <c r="G365" s="12" t="s">
        <v>36</v>
      </c>
      <c r="H365" s="14">
        <v>0.033</v>
      </c>
      <c r="I365" s="89">
        <f>IF($C$12=3,0,IF($D$13=2,IF($E$13=4,IF($F$18=3,'Input-Output'!$E$16*0.001102*Calculations!H365*0.4536,0),0),0))</f>
        <v>0</v>
      </c>
      <c r="J365" s="15" t="s">
        <v>188</v>
      </c>
    </row>
    <row r="366" spans="3:10" ht="15">
      <c r="C366" s="11"/>
      <c r="D366" s="31"/>
      <c r="E366" s="31"/>
      <c r="F366" s="31" t="s">
        <v>73</v>
      </c>
      <c r="G366" s="12" t="s">
        <v>74</v>
      </c>
      <c r="H366" s="14">
        <v>0.017</v>
      </c>
      <c r="I366" s="89">
        <f>IF($C$12=3,0,IF($D$13=2,IF($E$13=4,IF($F$18=3,'Input-Output'!$E$16*0.001102*Calculations!H366*0.4536,0),0),0))</f>
        <v>0</v>
      </c>
      <c r="J366" s="15" t="s">
        <v>188</v>
      </c>
    </row>
    <row r="367" spans="3:10" ht="15">
      <c r="C367" s="11"/>
      <c r="D367" s="31"/>
      <c r="E367" s="31"/>
      <c r="F367" s="31" t="s">
        <v>75</v>
      </c>
      <c r="G367" s="12" t="s">
        <v>76</v>
      </c>
      <c r="H367" s="14">
        <v>0.011</v>
      </c>
      <c r="I367" s="89">
        <f>IF($C$12=3,0,IF($D$13=2,IF($E$13=4,IF($F$18=3,'Input-Output'!$E$16*0.001102*Calculations!H367*0.4536,0),0),0))</f>
        <v>0</v>
      </c>
      <c r="J367" s="15" t="s">
        <v>188</v>
      </c>
    </row>
    <row r="368" spans="3:10" ht="15">
      <c r="C368" s="11"/>
      <c r="D368" s="31"/>
      <c r="E368" s="31"/>
      <c r="F368" s="31" t="s">
        <v>49</v>
      </c>
      <c r="G368" s="12" t="s">
        <v>50</v>
      </c>
      <c r="H368" s="14">
        <v>0.34</v>
      </c>
      <c r="I368" s="89">
        <f>IF($C$12=3,0,IF($D$13=2,IF($E$13=4,IF($F$18=3,'Input-Output'!$E$16*0.001102*Calculations!H368*0.4536,0),0),0))</f>
        <v>0</v>
      </c>
      <c r="J368" s="15" t="s">
        <v>187</v>
      </c>
    </row>
    <row r="369" spans="3:10" ht="15">
      <c r="C369" s="11"/>
      <c r="D369" s="31"/>
      <c r="E369" s="40"/>
      <c r="F369" s="40" t="s">
        <v>67</v>
      </c>
      <c r="G369" s="41" t="s">
        <v>68</v>
      </c>
      <c r="H369" s="42">
        <v>0.0098</v>
      </c>
      <c r="I369" s="189">
        <f>IF($C$12=3,0,IF($D$13=2,IF($E$13=4,IF($F$18=3,'Input-Output'!$E$16*0.001102*Calculations!H369*0.4536,0),0),0))</f>
        <v>0</v>
      </c>
      <c r="J369" s="43" t="s">
        <v>187</v>
      </c>
    </row>
    <row r="370" spans="3:10" ht="18">
      <c r="C370" s="11"/>
      <c r="D370" s="31"/>
      <c r="E370" s="44" t="s">
        <v>138</v>
      </c>
      <c r="F370" s="44" t="s">
        <v>8</v>
      </c>
      <c r="G370" s="45" t="s">
        <v>9</v>
      </c>
      <c r="H370" s="46">
        <v>1.3</v>
      </c>
      <c r="I370" s="190">
        <f>IF($C$12=3,0,IF($D$13=2,IF($E$13=4,IF($F$18=9,'Input-Output'!$E$16*0.001102*Calculations!H370*0.4536,0),0),0))</f>
        <v>0</v>
      </c>
      <c r="J370" s="15" t="s">
        <v>188</v>
      </c>
    </row>
    <row r="371" spans="3:10" ht="18">
      <c r="C371" s="11"/>
      <c r="D371" s="31"/>
      <c r="E371" s="31"/>
      <c r="F371" s="31" t="s">
        <v>133</v>
      </c>
      <c r="G371" s="12" t="s">
        <v>9</v>
      </c>
      <c r="H371" s="14">
        <f>H370*0.61</f>
        <v>0.793</v>
      </c>
      <c r="I371" s="89">
        <f>IF($C$12=3,0,IF($D$13=2,IF($E$13=4,IF($F$18=9,'Input-Output'!$E$16*0.001102*Calculations!H371*0.4536,0),0),0))</f>
        <v>0</v>
      </c>
      <c r="J371" s="15" t="s">
        <v>188</v>
      </c>
    </row>
    <row r="372" spans="3:10" ht="18">
      <c r="C372" s="11"/>
      <c r="D372" s="31"/>
      <c r="E372" s="31"/>
      <c r="F372" s="31" t="s">
        <v>132</v>
      </c>
      <c r="G372" s="12" t="s">
        <v>9</v>
      </c>
      <c r="H372" s="14">
        <f>H371*0.79</f>
        <v>0.6264700000000001</v>
      </c>
      <c r="I372" s="89">
        <f>IF($C$12=3,0,IF($D$13=2,IF($E$13=4,IF($F$18=9,'Input-Output'!$E$16*0.001102*Calculations!H372*0.4536,0),0),0))</f>
        <v>0</v>
      </c>
      <c r="J372" s="15" t="s">
        <v>188</v>
      </c>
    </row>
    <row r="373" spans="3:10" ht="15">
      <c r="C373" s="11"/>
      <c r="D373" s="31"/>
      <c r="E373" s="31"/>
      <c r="F373" s="31" t="s">
        <v>18</v>
      </c>
      <c r="G373" s="12" t="s">
        <v>25</v>
      </c>
      <c r="H373" s="14">
        <v>0.51</v>
      </c>
      <c r="I373" s="89">
        <f>IF($C$12=3,0,IF($D$13=2,IF($E$13=4,IF($F$18=9,'Input-Output'!$E$16*0.001102*Calculations!H373*0.4536,0),0),0))</f>
        <v>0</v>
      </c>
      <c r="J373" s="15" t="s">
        <v>187</v>
      </c>
    </row>
    <row r="374" spans="3:10" ht="15">
      <c r="C374" s="11"/>
      <c r="D374" s="31"/>
      <c r="E374" s="31"/>
      <c r="F374" s="31" t="s">
        <v>19</v>
      </c>
      <c r="G374" s="12" t="s">
        <v>20</v>
      </c>
      <c r="H374" s="14">
        <v>5.9</v>
      </c>
      <c r="I374" s="89">
        <f>IF($C$12=3,0,IF($D$13=2,IF($E$13=4,IF($F$18=9,'Input-Output'!$E$16*0.001102*Calculations!H374*0.4536,0),0),0))</f>
        <v>0</v>
      </c>
      <c r="J374" s="15" t="s">
        <v>187</v>
      </c>
    </row>
    <row r="375" spans="3:10" ht="15">
      <c r="C375" s="11"/>
      <c r="D375" s="31"/>
      <c r="E375" s="31"/>
      <c r="F375" s="31" t="s">
        <v>21</v>
      </c>
      <c r="G375" s="12" t="s">
        <v>22</v>
      </c>
      <c r="H375" s="14">
        <v>670</v>
      </c>
      <c r="I375" s="89">
        <f>IF($C$12=3,0,IF($D$13=2,IF($E$13=4,IF($F$18=9,'Input-Output'!$E$16*0.001102*Calculations!H375*0.4536,0),0),0))</f>
        <v>0</v>
      </c>
      <c r="J375" s="15" t="s">
        <v>188</v>
      </c>
    </row>
    <row r="376" spans="3:10" ht="15">
      <c r="C376" s="11"/>
      <c r="D376" s="31"/>
      <c r="E376" s="31"/>
      <c r="F376" s="31" t="s">
        <v>27</v>
      </c>
      <c r="G376" s="12" t="s">
        <v>9</v>
      </c>
      <c r="H376" s="14">
        <v>3.4</v>
      </c>
      <c r="I376" s="89">
        <f>IF($C$12=3,0,IF($D$13=2,IF($E$13=4,IF($F$18=9,'Input-Output'!$E$16*0.001102*Calculations!H376*0.4536,0),0),0))</f>
        <v>0</v>
      </c>
      <c r="J376" s="15" t="s">
        <v>187</v>
      </c>
    </row>
    <row r="377" spans="3:10" ht="15">
      <c r="C377" s="11"/>
      <c r="D377" s="31"/>
      <c r="E377" s="31"/>
      <c r="F377" s="31" t="s">
        <v>28</v>
      </c>
      <c r="G377" s="12" t="s">
        <v>9</v>
      </c>
      <c r="H377" s="14">
        <v>4.4</v>
      </c>
      <c r="I377" s="89">
        <f>IF($C$12=3,0,IF($D$13=2,IF($E$13=4,IF($F$18=9,'Input-Output'!$E$16*0.001102*Calculations!H377*0.4536,0),0),0))</f>
        <v>0</v>
      </c>
      <c r="J377" s="15" t="s">
        <v>188</v>
      </c>
    </row>
    <row r="378" spans="3:10" ht="15">
      <c r="C378" s="11"/>
      <c r="D378" s="31"/>
      <c r="E378" s="31"/>
      <c r="F378" s="31" t="s">
        <v>31</v>
      </c>
      <c r="G378" s="12" t="s">
        <v>32</v>
      </c>
      <c r="H378" s="14">
        <v>0.11</v>
      </c>
      <c r="I378" s="89">
        <f>IF($C$12=3,0,IF($D$13=2,IF($E$13=4,IF($F$18=9,'Input-Output'!$E$16*0.001102*Calculations!H378*0.4536,0),0),0))</f>
        <v>0</v>
      </c>
      <c r="J378" s="15" t="s">
        <v>187</v>
      </c>
    </row>
    <row r="379" spans="3:10" ht="15">
      <c r="C379" s="11"/>
      <c r="D379" s="31"/>
      <c r="E379" s="31"/>
      <c r="F379" s="31" t="s">
        <v>33</v>
      </c>
      <c r="G379" s="12" t="s">
        <v>34</v>
      </c>
      <c r="H379" s="14">
        <v>0.039</v>
      </c>
      <c r="I379" s="89">
        <f>IF($C$12=3,0,IF($D$13=2,IF($E$13=4,IF($F$18=9,'Input-Output'!$E$16*0.001102*Calculations!H379*0.4536,0),0),0))</f>
        <v>0</v>
      </c>
      <c r="J379" s="15" t="s">
        <v>188</v>
      </c>
    </row>
    <row r="380" spans="3:10" ht="15">
      <c r="C380" s="11"/>
      <c r="D380" s="31"/>
      <c r="E380" s="31"/>
      <c r="F380" s="31" t="s">
        <v>35</v>
      </c>
      <c r="G380" s="12" t="s">
        <v>36</v>
      </c>
      <c r="H380" s="14">
        <v>0.033</v>
      </c>
      <c r="I380" s="89">
        <f>IF($C$12=3,0,IF($D$13=2,IF($E$13=4,IF($F$18=9,'Input-Output'!$E$16*0.001102*Calculations!H380*0.4536,0),0),0))</f>
        <v>0</v>
      </c>
      <c r="J380" s="15" t="s">
        <v>188</v>
      </c>
    </row>
    <row r="381" spans="3:10" ht="15">
      <c r="C381" s="11"/>
      <c r="D381" s="31"/>
      <c r="E381" s="31"/>
      <c r="F381" s="31" t="s">
        <v>73</v>
      </c>
      <c r="G381" s="12" t="s">
        <v>74</v>
      </c>
      <c r="H381" s="14">
        <v>0.017</v>
      </c>
      <c r="I381" s="89">
        <f>IF($C$12=3,0,IF($D$13=2,IF($E$13=4,IF($F$18=9,'Input-Output'!$E$16*0.001102*Calculations!H381*0.4536,0),0),0))</f>
        <v>0</v>
      </c>
      <c r="J381" s="15" t="s">
        <v>188</v>
      </c>
    </row>
    <row r="382" spans="3:10" ht="15">
      <c r="C382" s="11"/>
      <c r="D382" s="31"/>
      <c r="E382" s="31"/>
      <c r="F382" s="31" t="s">
        <v>75</v>
      </c>
      <c r="G382" s="12" t="s">
        <v>76</v>
      </c>
      <c r="H382" s="14">
        <v>0.011</v>
      </c>
      <c r="I382" s="89">
        <f>IF($C$12=3,0,IF($D$13=2,IF($E$13=4,IF($F$18=9,'Input-Output'!$E$16*0.001102*Calculations!H382*0.4536,0),0),0))</f>
        <v>0</v>
      </c>
      <c r="J382" s="15" t="s">
        <v>188</v>
      </c>
    </row>
    <row r="383" spans="3:10" ht="15">
      <c r="C383" s="11"/>
      <c r="D383" s="31"/>
      <c r="E383" s="31"/>
      <c r="F383" s="31" t="s">
        <v>49</v>
      </c>
      <c r="G383" s="12" t="s">
        <v>50</v>
      </c>
      <c r="H383" s="14">
        <v>0.34</v>
      </c>
      <c r="I383" s="89">
        <f>IF($C$12=3,0,IF($D$13=2,IF($E$13=4,IF($F$18=9,'Input-Output'!$E$16*0.001102*Calculations!H383*0.4536,0),0),0))</f>
        <v>0</v>
      </c>
      <c r="J383" s="15" t="s">
        <v>187</v>
      </c>
    </row>
    <row r="384" spans="3:10" ht="15">
      <c r="C384" s="11"/>
      <c r="D384" s="31"/>
      <c r="E384" s="40"/>
      <c r="F384" s="40" t="s">
        <v>67</v>
      </c>
      <c r="G384" s="41" t="s">
        <v>68</v>
      </c>
      <c r="H384" s="42">
        <v>0.0098</v>
      </c>
      <c r="I384" s="189">
        <f>IF($C$12=3,0,IF($D$13=2,IF($E$13=4,IF($F$18=9,'Input-Output'!$E$16*0.001102*Calculations!H384*0.4536,0),0),0))</f>
        <v>0</v>
      </c>
      <c r="J384" s="43" t="s">
        <v>187</v>
      </c>
    </row>
    <row r="385" spans="3:10" ht="18">
      <c r="C385" s="11"/>
      <c r="D385" s="31"/>
      <c r="E385" s="44" t="s">
        <v>136</v>
      </c>
      <c r="F385" s="44" t="s">
        <v>8</v>
      </c>
      <c r="G385" s="45" t="s">
        <v>9</v>
      </c>
      <c r="H385" s="46">
        <v>1.17</v>
      </c>
      <c r="I385" s="190">
        <f>IF($C$12=3,0,IF($D$13=2,IF($E$13=4,IF($F$18=4,'Input-Output'!$E$16*0.001102*Calculations!H385*0.4536,0),0),0))</f>
        <v>0</v>
      </c>
      <c r="J385" s="15" t="s">
        <v>188</v>
      </c>
    </row>
    <row r="386" spans="3:10" ht="18">
      <c r="C386" s="11"/>
      <c r="D386" s="31"/>
      <c r="E386" s="31"/>
      <c r="F386" s="31" t="s">
        <v>133</v>
      </c>
      <c r="G386" s="12" t="s">
        <v>9</v>
      </c>
      <c r="H386" s="76">
        <f>H385*0.61</f>
        <v>0.7136999999999999</v>
      </c>
      <c r="I386" s="89">
        <f>IF($C$12=3,0,IF($D$13=2,IF($E$13=4,IF($F$18=4,'Input-Output'!$E$16*0.001102*Calculations!H386*0.4536,0),0),0))</f>
        <v>0</v>
      </c>
      <c r="J386" s="15" t="s">
        <v>188</v>
      </c>
    </row>
    <row r="387" spans="3:10" ht="18">
      <c r="C387" s="11"/>
      <c r="D387" s="31"/>
      <c r="E387" s="31"/>
      <c r="F387" s="31" t="s">
        <v>132</v>
      </c>
      <c r="G387" s="12" t="s">
        <v>9</v>
      </c>
      <c r="H387" s="76">
        <f>H386*0.79</f>
        <v>0.563823</v>
      </c>
      <c r="I387" s="89">
        <f>IF($C$12=3,0,IF($D$13=2,IF($E$13=4,IF($F$18=4,'Input-Output'!$E$16*0.001102*Calculations!H387*0.4536,0),0),0))</f>
        <v>0</v>
      </c>
      <c r="J387" s="15" t="s">
        <v>188</v>
      </c>
    </row>
    <row r="388" spans="3:10" ht="15">
      <c r="C388" s="11"/>
      <c r="D388" s="31"/>
      <c r="E388" s="31"/>
      <c r="F388" s="31" t="s">
        <v>18</v>
      </c>
      <c r="G388" s="12" t="s">
        <v>25</v>
      </c>
      <c r="H388" s="14">
        <v>0.51</v>
      </c>
      <c r="I388" s="89">
        <f>IF($C$12=3,0,IF($D$13=2,IF($E$13=4,IF($F$18=4,'Input-Output'!$E$16*0.001102*Calculations!H388*0.4536,0),0),0))</f>
        <v>0</v>
      </c>
      <c r="J388" s="15" t="s">
        <v>187</v>
      </c>
    </row>
    <row r="389" spans="3:10" ht="15">
      <c r="C389" s="11"/>
      <c r="D389" s="31"/>
      <c r="E389" s="31"/>
      <c r="F389" s="31" t="s">
        <v>19</v>
      </c>
      <c r="G389" s="12" t="s">
        <v>20</v>
      </c>
      <c r="H389" s="14">
        <v>5.9</v>
      </c>
      <c r="I389" s="89">
        <f>IF($C$12=3,0,IF($D$13=2,IF($E$13=4,IF($F$18=4,'Input-Output'!$E$16*0.001102*Calculations!H389*0.4536,0),0),0))</f>
        <v>0</v>
      </c>
      <c r="J389" s="15" t="s">
        <v>187</v>
      </c>
    </row>
    <row r="390" spans="3:10" ht="15">
      <c r="C390" s="11"/>
      <c r="D390" s="31"/>
      <c r="E390" s="31"/>
      <c r="F390" s="31" t="s">
        <v>21</v>
      </c>
      <c r="G390" s="12" t="s">
        <v>22</v>
      </c>
      <c r="H390" s="14">
        <v>670</v>
      </c>
      <c r="I390" s="89">
        <f>IF($C$12=3,0,IF($D$13=2,IF($E$13=4,IF($F$18=4,'Input-Output'!$E$16*0.001102*Calculations!H390*0.4536,0),0),0))</f>
        <v>0</v>
      </c>
      <c r="J390" s="15" t="s">
        <v>188</v>
      </c>
    </row>
    <row r="391" spans="3:10" ht="15">
      <c r="C391" s="11"/>
      <c r="D391" s="31"/>
      <c r="E391" s="31"/>
      <c r="F391" s="31" t="s">
        <v>27</v>
      </c>
      <c r="G391" s="12" t="s">
        <v>9</v>
      </c>
      <c r="H391" s="14">
        <v>3.4</v>
      </c>
      <c r="I391" s="89">
        <f>IF($C$12=3,0,IF($D$13=2,IF($E$13=4,IF($F$18=4,'Input-Output'!$E$16*0.001102*Calculations!H391*0.4536,0),0),0))</f>
        <v>0</v>
      </c>
      <c r="J391" s="15" t="s">
        <v>187</v>
      </c>
    </row>
    <row r="392" spans="3:10" ht="15">
      <c r="C392" s="11"/>
      <c r="D392" s="31"/>
      <c r="E392" s="31"/>
      <c r="F392" s="31" t="s">
        <v>28</v>
      </c>
      <c r="G392" s="12" t="s">
        <v>9</v>
      </c>
      <c r="H392" s="14">
        <v>4.4</v>
      </c>
      <c r="I392" s="89">
        <f>IF($C$12=3,0,IF($D$13=2,IF($E$13=4,IF($F$18=4,'Input-Output'!$E$16*0.001102*Calculations!H392*0.4536,0),0),0))</f>
        <v>0</v>
      </c>
      <c r="J392" s="15" t="s">
        <v>188</v>
      </c>
    </row>
    <row r="393" spans="3:10" ht="15">
      <c r="C393" s="11"/>
      <c r="D393" s="31"/>
      <c r="E393" s="31"/>
      <c r="F393" s="31" t="s">
        <v>31</v>
      </c>
      <c r="G393" s="12" t="s">
        <v>32</v>
      </c>
      <c r="H393" s="14">
        <v>0.11</v>
      </c>
      <c r="I393" s="89">
        <f>IF($C$12=3,0,IF($D$13=2,IF($E$13=4,IF($F$18=4,'Input-Output'!$E$16*0.001102*Calculations!H393*0.4536,0),0),0))</f>
        <v>0</v>
      </c>
      <c r="J393" s="15" t="s">
        <v>187</v>
      </c>
    </row>
    <row r="394" spans="3:10" ht="15">
      <c r="C394" s="11"/>
      <c r="D394" s="31"/>
      <c r="E394" s="31"/>
      <c r="F394" s="31" t="s">
        <v>33</v>
      </c>
      <c r="G394" s="12" t="s">
        <v>34</v>
      </c>
      <c r="H394" s="14">
        <v>0.039</v>
      </c>
      <c r="I394" s="89">
        <f>IF($C$12=3,0,IF($D$13=2,IF($E$13=4,IF($F$18=4,'Input-Output'!$E$16*0.001102*Calculations!H394*0.4536,0),0),0))</f>
        <v>0</v>
      </c>
      <c r="J394" s="15" t="s">
        <v>188</v>
      </c>
    </row>
    <row r="395" spans="3:10" ht="15">
      <c r="C395" s="11"/>
      <c r="D395" s="31"/>
      <c r="E395" s="31"/>
      <c r="F395" s="31" t="s">
        <v>35</v>
      </c>
      <c r="G395" s="12" t="s">
        <v>36</v>
      </c>
      <c r="H395" s="14">
        <v>0.033</v>
      </c>
      <c r="I395" s="89">
        <f>IF($C$12=3,0,IF($D$13=2,IF($E$13=4,IF($F$18=4,'Input-Output'!$E$16*0.001102*Calculations!H395*0.4536,0),0),0))</f>
        <v>0</v>
      </c>
      <c r="J395" s="15" t="s">
        <v>188</v>
      </c>
    </row>
    <row r="396" spans="3:10" ht="15">
      <c r="C396" s="11"/>
      <c r="D396" s="31"/>
      <c r="E396" s="31"/>
      <c r="F396" s="31" t="s">
        <v>73</v>
      </c>
      <c r="G396" s="12" t="s">
        <v>74</v>
      </c>
      <c r="H396" s="14">
        <v>0.017</v>
      </c>
      <c r="I396" s="89">
        <f>IF($C$12=3,0,IF($D$13=2,IF($E$13=4,IF($F$18=4,'Input-Output'!$E$16*0.001102*Calculations!H396*0.4536,0),0),0))</f>
        <v>0</v>
      </c>
      <c r="J396" s="15" t="s">
        <v>188</v>
      </c>
    </row>
    <row r="397" spans="3:10" ht="15">
      <c r="C397" s="11"/>
      <c r="D397" s="31"/>
      <c r="E397" s="31"/>
      <c r="F397" s="31" t="s">
        <v>75</v>
      </c>
      <c r="G397" s="12" t="s">
        <v>76</v>
      </c>
      <c r="H397" s="14">
        <v>0.011</v>
      </c>
      <c r="I397" s="89">
        <f>IF($C$12=3,0,IF($D$13=2,IF($E$13=4,IF($F$18=4,'Input-Output'!$E$16*0.001102*Calculations!H397*0.4536,0),0),0))</f>
        <v>0</v>
      </c>
      <c r="J397" s="15" t="s">
        <v>188</v>
      </c>
    </row>
    <row r="398" spans="3:10" ht="15">
      <c r="C398" s="11"/>
      <c r="D398" s="31"/>
      <c r="E398" s="31"/>
      <c r="F398" s="31" t="s">
        <v>49</v>
      </c>
      <c r="G398" s="12" t="s">
        <v>50</v>
      </c>
      <c r="H398" s="14">
        <v>0.34</v>
      </c>
      <c r="I398" s="89">
        <f>IF($C$12=3,0,IF($D$13=2,IF($E$13=4,IF($F$18=4,'Input-Output'!$E$16*0.001102*Calculations!H398*0.4536,0),0),0))</f>
        <v>0</v>
      </c>
      <c r="J398" s="15" t="s">
        <v>187</v>
      </c>
    </row>
    <row r="399" spans="3:10" ht="15">
      <c r="C399" s="11"/>
      <c r="D399" s="31"/>
      <c r="E399" s="40"/>
      <c r="F399" s="40" t="s">
        <v>67</v>
      </c>
      <c r="G399" s="41" t="s">
        <v>68</v>
      </c>
      <c r="H399" s="42">
        <v>0.0098</v>
      </c>
      <c r="I399" s="189">
        <f>IF($C$12=3,0,IF($D$13=2,IF($E$13=4,IF($F$18=4,'Input-Output'!$E$16*0.001102*Calculations!H399*0.4536,0),0),0))</f>
        <v>0</v>
      </c>
      <c r="J399" s="43" t="s">
        <v>187</v>
      </c>
    </row>
    <row r="400" spans="3:10" ht="33.75">
      <c r="C400" s="11"/>
      <c r="D400" s="31"/>
      <c r="E400" s="220" t="s">
        <v>137</v>
      </c>
      <c r="F400" s="44" t="s">
        <v>8</v>
      </c>
      <c r="G400" s="45" t="s">
        <v>9</v>
      </c>
      <c r="H400" s="46">
        <v>1.02</v>
      </c>
      <c r="I400" s="190">
        <f>IF($C$12=3,0,IF($D$13=2,IF($E$13=4,IF($F$18=5,'Input-Output'!$E$16*0.001102*Calculations!H400*0.4536,0),0),0))</f>
        <v>0</v>
      </c>
      <c r="J400" s="15" t="s">
        <v>187</v>
      </c>
    </row>
    <row r="401" spans="3:10" ht="18">
      <c r="C401" s="11"/>
      <c r="D401" s="31"/>
      <c r="E401" s="31"/>
      <c r="F401" s="31" t="s">
        <v>133</v>
      </c>
      <c r="G401" s="12" t="s">
        <v>9</v>
      </c>
      <c r="H401" s="76">
        <f>H400*0.61</f>
        <v>0.6222</v>
      </c>
      <c r="I401" s="89">
        <f>IF($C$12=3,0,IF($D$13=2,IF($E$13=4,IF($F$18=5,'Input-Output'!$E$16*0.001102*Calculations!H401*0.4536,0),0),0))</f>
        <v>0</v>
      </c>
      <c r="J401" s="15" t="s">
        <v>187</v>
      </c>
    </row>
    <row r="402" spans="3:10" ht="18">
      <c r="C402" s="11"/>
      <c r="D402" s="31"/>
      <c r="E402" s="31"/>
      <c r="F402" s="31" t="s">
        <v>132</v>
      </c>
      <c r="G402" s="12" t="s">
        <v>9</v>
      </c>
      <c r="H402" s="76">
        <f>H401*0.79</f>
        <v>0.491538</v>
      </c>
      <c r="I402" s="89">
        <f>IF($C$12=3,0,IF($D$13=2,IF($E$13=4,IF($F$18=5,'Input-Output'!$E$16*0.001102*Calculations!H402*0.4536,0),0),0))</f>
        <v>0</v>
      </c>
      <c r="J402" s="15" t="s">
        <v>187</v>
      </c>
    </row>
    <row r="403" spans="3:10" ht="15">
      <c r="C403" s="11"/>
      <c r="D403" s="31"/>
      <c r="E403" s="31"/>
      <c r="F403" s="31" t="s">
        <v>18</v>
      </c>
      <c r="G403" s="12" t="s">
        <v>25</v>
      </c>
      <c r="H403" s="14">
        <v>0.51</v>
      </c>
      <c r="I403" s="89">
        <f>IF($C$12=3,0,IF($D$13=2,IF($E$13=4,IF($F$18=5,'Input-Output'!$E$16*0.001102*Calculations!H403*0.4536,0),0),0))</f>
        <v>0</v>
      </c>
      <c r="J403" s="15" t="s">
        <v>187</v>
      </c>
    </row>
    <row r="404" spans="3:10" ht="15">
      <c r="C404" s="11"/>
      <c r="D404" s="31"/>
      <c r="E404" s="31"/>
      <c r="F404" s="31" t="s">
        <v>19</v>
      </c>
      <c r="G404" s="12" t="s">
        <v>20</v>
      </c>
      <c r="H404" s="14">
        <v>5.9</v>
      </c>
      <c r="I404" s="89">
        <f>IF($C$12=3,0,IF($D$13=2,IF($E$13=4,IF($F$18=5,'Input-Output'!$E$16*0.001102*Calculations!H404*0.4536,0),0),0))</f>
        <v>0</v>
      </c>
      <c r="J404" s="15" t="s">
        <v>187</v>
      </c>
    </row>
    <row r="405" spans="3:10" ht="15">
      <c r="C405" s="11"/>
      <c r="D405" s="31"/>
      <c r="E405" s="31"/>
      <c r="F405" s="31" t="s">
        <v>21</v>
      </c>
      <c r="G405" s="12" t="s">
        <v>22</v>
      </c>
      <c r="H405" s="14">
        <v>670</v>
      </c>
      <c r="I405" s="89">
        <f>IF($C$12=3,0,IF($D$13=2,IF($E$13=4,IF($F$18=5,'Input-Output'!$E$16*0.001102*Calculations!H405*0.4536,0),0),0))</f>
        <v>0</v>
      </c>
      <c r="J405" s="15" t="s">
        <v>188</v>
      </c>
    </row>
    <row r="406" spans="3:10" ht="15">
      <c r="C406" s="11"/>
      <c r="D406" s="31"/>
      <c r="E406" s="31"/>
      <c r="F406" s="31" t="s">
        <v>27</v>
      </c>
      <c r="G406" s="12" t="s">
        <v>9</v>
      </c>
      <c r="H406" s="14">
        <v>3.4</v>
      </c>
      <c r="I406" s="89">
        <f>IF($C$12=3,0,IF($D$13=2,IF($E$13=4,IF($F$18=5,'Input-Output'!$E$16*0.001102*Calculations!H406*0.4536,0),0),0))</f>
        <v>0</v>
      </c>
      <c r="J406" s="15" t="s">
        <v>187</v>
      </c>
    </row>
    <row r="407" spans="3:10" ht="15">
      <c r="C407" s="11"/>
      <c r="D407" s="31"/>
      <c r="E407" s="31"/>
      <c r="F407" s="31" t="s">
        <v>28</v>
      </c>
      <c r="G407" s="12" t="s">
        <v>9</v>
      </c>
      <c r="H407" s="14">
        <v>4.4</v>
      </c>
      <c r="I407" s="89">
        <f>IF($C$12=3,0,IF($D$13=2,IF($E$13=4,IF($F$18=5,'Input-Output'!$E$16*0.001102*Calculations!H407*0.4536,0),0),0))</f>
        <v>0</v>
      </c>
      <c r="J407" s="15" t="s">
        <v>188</v>
      </c>
    </row>
    <row r="408" spans="3:10" ht="15">
      <c r="C408" s="11"/>
      <c r="D408" s="31"/>
      <c r="E408" s="31"/>
      <c r="F408" s="31" t="s">
        <v>31</v>
      </c>
      <c r="G408" s="12" t="s">
        <v>32</v>
      </c>
      <c r="H408" s="14">
        <v>0.11</v>
      </c>
      <c r="I408" s="89">
        <f>IF($C$12=3,0,IF($D$13=2,IF($E$13=4,IF($F$18=5,'Input-Output'!$E$16*0.001102*Calculations!H408*0.4536,0),0),0))</f>
        <v>0</v>
      </c>
      <c r="J408" s="15" t="s">
        <v>187</v>
      </c>
    </row>
    <row r="409" spans="3:10" ht="15">
      <c r="C409" s="11"/>
      <c r="D409" s="31"/>
      <c r="E409" s="31"/>
      <c r="F409" s="31" t="s">
        <v>33</v>
      </c>
      <c r="G409" s="12" t="s">
        <v>34</v>
      </c>
      <c r="H409" s="14">
        <v>0.039</v>
      </c>
      <c r="I409" s="89">
        <f>IF($C$12=3,0,IF($D$13=2,IF($E$13=4,IF($F$18=5,'Input-Output'!$E$16*0.001102*Calculations!H409*0.4536,0),0),0))</f>
        <v>0</v>
      </c>
      <c r="J409" s="15" t="s">
        <v>188</v>
      </c>
    </row>
    <row r="410" spans="3:10" ht="15">
      <c r="C410" s="11"/>
      <c r="D410" s="31"/>
      <c r="E410" s="31"/>
      <c r="F410" s="31" t="s">
        <v>35</v>
      </c>
      <c r="G410" s="12" t="s">
        <v>36</v>
      </c>
      <c r="H410" s="14">
        <v>0.033</v>
      </c>
      <c r="I410" s="89">
        <f>IF($C$12=3,0,IF($D$13=2,IF($E$13=4,IF($F$18=5,'Input-Output'!$E$16*0.001102*Calculations!H410*0.4536,0),0),0))</f>
        <v>0</v>
      </c>
      <c r="J410" s="15" t="s">
        <v>188</v>
      </c>
    </row>
    <row r="411" spans="3:10" ht="15">
      <c r="C411" s="11"/>
      <c r="D411" s="31"/>
      <c r="E411" s="31"/>
      <c r="F411" s="31" t="s">
        <v>73</v>
      </c>
      <c r="G411" s="12" t="s">
        <v>74</v>
      </c>
      <c r="H411" s="14">
        <v>0.017</v>
      </c>
      <c r="I411" s="89">
        <f>IF($C$12=3,0,IF($D$13=2,IF($E$13=4,IF($F$18=5,'Input-Output'!$E$16*0.001102*Calculations!H411*0.4536,0),0),0))</f>
        <v>0</v>
      </c>
      <c r="J411" s="15" t="s">
        <v>188</v>
      </c>
    </row>
    <row r="412" spans="3:10" ht="15">
      <c r="C412" s="11"/>
      <c r="D412" s="31"/>
      <c r="E412" s="31"/>
      <c r="F412" s="31" t="s">
        <v>75</v>
      </c>
      <c r="G412" s="12" t="s">
        <v>76</v>
      </c>
      <c r="H412" s="14">
        <v>0.011</v>
      </c>
      <c r="I412" s="89">
        <f>IF($C$12=3,0,IF($D$13=2,IF($E$13=4,IF($F$18=5,'Input-Output'!$E$16*0.001102*Calculations!H412*0.4536,0),0),0))</f>
        <v>0</v>
      </c>
      <c r="J412" s="15" t="s">
        <v>188</v>
      </c>
    </row>
    <row r="413" spans="3:10" ht="15">
      <c r="C413" s="11"/>
      <c r="D413" s="31"/>
      <c r="E413" s="31"/>
      <c r="F413" s="31" t="s">
        <v>49</v>
      </c>
      <c r="G413" s="12" t="s">
        <v>50</v>
      </c>
      <c r="H413" s="14">
        <v>0.34</v>
      </c>
      <c r="I413" s="89">
        <f>IF($C$12=3,0,IF($D$13=2,IF($E$13=4,IF($F$18=5,'Input-Output'!$E$16*0.001102*Calculations!H413*0.4536,0),0),0))</f>
        <v>0</v>
      </c>
      <c r="J413" s="15" t="s">
        <v>187</v>
      </c>
    </row>
    <row r="414" spans="3:10" ht="15">
      <c r="C414" s="11"/>
      <c r="D414" s="31"/>
      <c r="E414" s="40"/>
      <c r="F414" s="40" t="s">
        <v>67</v>
      </c>
      <c r="G414" s="41" t="s">
        <v>68</v>
      </c>
      <c r="H414" s="42">
        <v>0.0098</v>
      </c>
      <c r="I414" s="189">
        <f>IF($C$12=3,0,IF($D$13=2,IF($E$13=4,IF($F$18=5,'Input-Output'!$E$16*0.001102*Calculations!H414*0.4536,0),0),0))</f>
        <v>0</v>
      </c>
      <c r="J414" s="43" t="s">
        <v>187</v>
      </c>
    </row>
    <row r="415" spans="3:10" ht="18">
      <c r="C415" s="11"/>
      <c r="D415" s="31"/>
      <c r="E415" s="31" t="s">
        <v>196</v>
      </c>
      <c r="F415" s="31" t="s">
        <v>18</v>
      </c>
      <c r="G415" s="12" t="s">
        <v>25</v>
      </c>
      <c r="H415" s="76">
        <f>0.51*(1.114*0.5+0.666*0.5)</f>
        <v>0.4539000000000001</v>
      </c>
      <c r="I415" s="89">
        <f>IF($C$12=3,0,IF($D$13=2,IF($E$13=4,IF($F$18=6,'Input-Output'!$E$16*0.001102*Calculations!H415*0.4536,0),0),0))</f>
        <v>0</v>
      </c>
      <c r="J415" s="15" t="s">
        <v>187</v>
      </c>
    </row>
    <row r="416" spans="3:10" ht="15">
      <c r="C416" s="11"/>
      <c r="D416" s="31"/>
      <c r="E416" s="31"/>
      <c r="F416" s="31" t="s">
        <v>19</v>
      </c>
      <c r="G416" s="12" t="s">
        <v>20</v>
      </c>
      <c r="H416" s="13">
        <f>5.9*0.306</f>
        <v>1.8054000000000001</v>
      </c>
      <c r="I416" s="89">
        <f>IF($C$12=3,0,IF($D$13=2,IF($E$13=4,IF($F$18=6,'Input-Output'!$E$16*0.001102*Calculations!H416*0.4536,0),0),0))</f>
        <v>0</v>
      </c>
      <c r="J416" s="15" t="s">
        <v>187</v>
      </c>
    </row>
    <row r="417" spans="3:10" ht="15">
      <c r="C417" s="11"/>
      <c r="D417" s="31"/>
      <c r="E417" s="31"/>
      <c r="F417" s="31" t="s">
        <v>21</v>
      </c>
      <c r="G417" s="12" t="s">
        <v>22</v>
      </c>
      <c r="H417" s="13">
        <f>670*1.175</f>
        <v>787.25</v>
      </c>
      <c r="I417" s="89">
        <f>IF($C$12=3,0,IF($D$13=2,IF($E$13=4,IF($F$18=6,'Input-Output'!$E$16*0.001102*Calculations!H417*0.4536,0),0),0))</f>
        <v>0</v>
      </c>
      <c r="J417" s="15" t="s">
        <v>188</v>
      </c>
    </row>
    <row r="418" spans="3:10" ht="15">
      <c r="C418" s="11"/>
      <c r="D418" s="31"/>
      <c r="E418" s="31"/>
      <c r="F418" s="31" t="s">
        <v>27</v>
      </c>
      <c r="G418" s="12" t="s">
        <v>9</v>
      </c>
      <c r="H418" s="14">
        <v>0.21</v>
      </c>
      <c r="I418" s="89">
        <f>IF($C$12=3,0,IF($D$13=2,IF($E$13=4,IF($F$18=6,'Input-Output'!$E$16*0.001102*Calculations!H418*0.4536,0),0),0))</f>
        <v>0</v>
      </c>
      <c r="J418" s="15" t="s">
        <v>188</v>
      </c>
    </row>
    <row r="419" spans="3:10" ht="15">
      <c r="C419" s="11"/>
      <c r="D419" s="31"/>
      <c r="E419" s="31"/>
      <c r="F419" s="31" t="s">
        <v>28</v>
      </c>
      <c r="G419" s="12" t="s">
        <v>9</v>
      </c>
      <c r="H419" s="14">
        <v>0.36</v>
      </c>
      <c r="I419" s="89">
        <f>IF($C$12=3,0,IF($D$13=2,IF($E$13=4,IF($F$18=6,'Input-Output'!$E$16*0.001102*Calculations!H419*0.4536,0),0),0))</f>
        <v>0</v>
      </c>
      <c r="J419" s="15" t="s">
        <v>188</v>
      </c>
    </row>
    <row r="420" spans="3:10" ht="15">
      <c r="C420" s="11"/>
      <c r="D420" s="31"/>
      <c r="E420" s="31"/>
      <c r="F420" s="31" t="s">
        <v>31</v>
      </c>
      <c r="G420" s="12" t="s">
        <v>32</v>
      </c>
      <c r="H420" s="14">
        <v>0.015</v>
      </c>
      <c r="I420" s="89">
        <f>IF($C$12=3,0,IF($D$13=2,IF($E$13=4,IF($F$18=6,'Input-Output'!$E$16*0.001102*Calculations!H420*0.4536,0),0),0))</f>
        <v>0</v>
      </c>
      <c r="J420" s="15" t="s">
        <v>188</v>
      </c>
    </row>
    <row r="421" spans="3:10" ht="15">
      <c r="C421" s="11"/>
      <c r="D421" s="31"/>
      <c r="E421" s="31"/>
      <c r="F421" s="31" t="s">
        <v>33</v>
      </c>
      <c r="G421" s="12" t="s">
        <v>34</v>
      </c>
      <c r="H421" s="14">
        <v>0.007</v>
      </c>
      <c r="I421" s="89">
        <f>IF($C$12=3,0,IF($D$13=2,IF($E$13=4,IF($F$18=6,'Input-Output'!$E$16*0.001102*Calculations!H421*0.4536,0),0),0))</f>
        <v>0</v>
      </c>
      <c r="J421" s="15" t="s">
        <v>188</v>
      </c>
    </row>
    <row r="422" spans="3:10" ht="15">
      <c r="C422" s="11"/>
      <c r="D422" s="31"/>
      <c r="E422" s="31"/>
      <c r="F422" s="31" t="s">
        <v>35</v>
      </c>
      <c r="G422" s="12" t="s">
        <v>36</v>
      </c>
      <c r="H422" s="14">
        <v>0.019</v>
      </c>
      <c r="I422" s="89">
        <f>IF($C$12=3,0,IF($D$13=2,IF($E$13=4,IF($F$18=6,'Input-Output'!$E$16*0.001102*Calculations!H422*0.4536,0),0),0))</f>
        <v>0</v>
      </c>
      <c r="J422" s="15" t="s">
        <v>188</v>
      </c>
    </row>
    <row r="423" spans="3:10" ht="15">
      <c r="C423" s="11"/>
      <c r="D423" s="31"/>
      <c r="E423" s="31"/>
      <c r="F423" s="31" t="s">
        <v>73</v>
      </c>
      <c r="G423" s="12" t="s">
        <v>74</v>
      </c>
      <c r="H423" s="14">
        <v>0.013</v>
      </c>
      <c r="I423" s="89">
        <f>IF($C$12=3,0,IF($D$13=2,IF($E$13=4,IF($F$18=6,'Input-Output'!$E$16*0.001102*Calculations!H423*0.4536,0),0),0))</f>
        <v>0</v>
      </c>
      <c r="J423" s="15" t="s">
        <v>188</v>
      </c>
    </row>
    <row r="424" spans="3:10" ht="15">
      <c r="C424" s="11"/>
      <c r="D424" s="31"/>
      <c r="E424" s="31"/>
      <c r="F424" s="31" t="s">
        <v>75</v>
      </c>
      <c r="G424" s="12" t="s">
        <v>76</v>
      </c>
      <c r="H424" s="14">
        <v>0.008</v>
      </c>
      <c r="I424" s="89">
        <f>IF($C$12=3,0,IF($D$13=2,IF($E$13=4,IF($F$18=6,'Input-Output'!$E$16*0.001102*Calculations!H424*0.4536,0),0),0))</f>
        <v>0</v>
      </c>
      <c r="J424" s="15" t="s">
        <v>188</v>
      </c>
    </row>
    <row r="425" spans="3:10" ht="15">
      <c r="C425" s="11"/>
      <c r="D425" s="31"/>
      <c r="E425" s="31"/>
      <c r="F425" s="31" t="s">
        <v>49</v>
      </c>
      <c r="G425" s="12" t="s">
        <v>50</v>
      </c>
      <c r="H425" s="14">
        <v>0.17</v>
      </c>
      <c r="I425" s="89">
        <f>IF($C$12=3,0,IF($D$13=2,IF($E$13=4,IF($F$18=6,'Input-Output'!$E$16*0.001102*Calculations!H425*0.4536,0),0),0))</f>
        <v>0</v>
      </c>
      <c r="J425" s="15" t="s">
        <v>188</v>
      </c>
    </row>
    <row r="426" spans="3:10" ht="15">
      <c r="C426" s="11"/>
      <c r="D426" s="31"/>
      <c r="E426" s="31"/>
      <c r="F426" s="31" t="s">
        <v>67</v>
      </c>
      <c r="G426" s="12" t="s">
        <v>68</v>
      </c>
      <c r="H426" s="14">
        <v>0.006</v>
      </c>
      <c r="I426" s="89">
        <f>IF($C$12=3,0,IF($D$13=2,IF($E$13=4,IF($F$18=6,'Input-Output'!$E$16*0.001102*Calculations!H426*0.4536,0),0),0))</f>
        <v>0</v>
      </c>
      <c r="J426" s="43" t="s">
        <v>188</v>
      </c>
    </row>
    <row r="427" spans="3:10" ht="18">
      <c r="C427" s="11"/>
      <c r="D427" s="31"/>
      <c r="E427" s="44" t="s">
        <v>13</v>
      </c>
      <c r="F427" s="44" t="s">
        <v>198</v>
      </c>
      <c r="G427" s="45" t="s">
        <v>9</v>
      </c>
      <c r="H427" s="83">
        <f>5.8*(AVERAGE(0.0277,0.0266))</f>
        <v>0.15747</v>
      </c>
      <c r="I427" s="87">
        <f>IF($C$12=3,0,IF($D$13=2,IF($E$13=4,IF($F$18=7,'Input-Output'!$E$16*0.001102*Calculations!H427*0.4536,0),0),0))</f>
        <v>0</v>
      </c>
      <c r="J427" s="15" t="s">
        <v>187</v>
      </c>
    </row>
    <row r="428" spans="3:10" ht="18">
      <c r="C428" s="11"/>
      <c r="D428" s="31"/>
      <c r="E428" s="31"/>
      <c r="F428" s="31" t="s">
        <v>133</v>
      </c>
      <c r="G428" s="12" t="s">
        <v>9</v>
      </c>
      <c r="H428" s="76">
        <f>H427*0.61</f>
        <v>0.0960567</v>
      </c>
      <c r="I428" s="13">
        <f>IF($C$12=3,0,IF($D$13=2,IF($E$13=4,IF($F$18=7,'Input-Output'!$E$16*0.001102*Calculations!H428*0.4536,0),0),0))</f>
        <v>0</v>
      </c>
      <c r="J428" s="15" t="s">
        <v>187</v>
      </c>
    </row>
    <row r="429" spans="3:10" ht="18">
      <c r="C429" s="11"/>
      <c r="D429" s="31"/>
      <c r="E429" s="31"/>
      <c r="F429" s="31" t="s">
        <v>132</v>
      </c>
      <c r="G429" s="12" t="s">
        <v>9</v>
      </c>
      <c r="H429" s="76">
        <f>H428*0.79</f>
        <v>0.075884793</v>
      </c>
      <c r="I429" s="13">
        <f>IF($C$12=3,0,IF($D$13=2,IF($E$13=4,IF($F$18=7,'Input-Output'!$E$16*0.001102*Calculations!H429*0.4536,0),0),0))</f>
        <v>0</v>
      </c>
      <c r="J429" s="15" t="s">
        <v>187</v>
      </c>
    </row>
    <row r="430" spans="3:10" ht="15">
      <c r="C430" s="11"/>
      <c r="D430" s="31"/>
      <c r="E430" s="31"/>
      <c r="F430" s="31" t="s">
        <v>18</v>
      </c>
      <c r="G430" s="12" t="s">
        <v>25</v>
      </c>
      <c r="H430" s="76">
        <f>0.51*(1.114*0.5+0.666*0.5)</f>
        <v>0.4539000000000001</v>
      </c>
      <c r="I430" s="13">
        <f>IF($C$12=3,0,IF($D$13=2,IF($E$13=4,IF($F$18=7,'Input-Output'!$E$16*0.001102*Calculations!H430*0.4536,0),0),0))</f>
        <v>0</v>
      </c>
      <c r="J430" s="15" t="s">
        <v>187</v>
      </c>
    </row>
    <row r="431" spans="3:10" ht="15">
      <c r="C431" s="11"/>
      <c r="D431" s="31"/>
      <c r="E431" s="31"/>
      <c r="F431" s="31" t="s">
        <v>19</v>
      </c>
      <c r="G431" s="12" t="s">
        <v>20</v>
      </c>
      <c r="H431" s="13">
        <f>5.9*0.306</f>
        <v>1.8054000000000001</v>
      </c>
      <c r="I431" s="13">
        <f>IF($C$12=3,0,IF($D$13=2,IF($E$13=4,IF($F$18=7,'Input-Output'!$E$16*0.001102*Calculations!H431*0.4536,0),0),0))</f>
        <v>0</v>
      </c>
      <c r="J431" s="15" t="s">
        <v>187</v>
      </c>
    </row>
    <row r="432" spans="3:10" ht="15">
      <c r="C432" s="11"/>
      <c r="D432" s="31"/>
      <c r="E432" s="31"/>
      <c r="F432" s="31" t="s">
        <v>21</v>
      </c>
      <c r="G432" s="12" t="s">
        <v>22</v>
      </c>
      <c r="H432" s="13">
        <f>670*1.175</f>
        <v>787.25</v>
      </c>
      <c r="I432" s="13">
        <f>IF($C$12=3,0,IF($D$13=2,IF($E$13=4,IF($F$18=7,'Input-Output'!$E$16*0.001102*Calculations!H432*0.4536,0),0),0))</f>
        <v>0</v>
      </c>
      <c r="J432" s="15" t="s">
        <v>188</v>
      </c>
    </row>
    <row r="433" spans="3:10" ht="15">
      <c r="C433" s="11"/>
      <c r="D433" s="31"/>
      <c r="E433" s="31"/>
      <c r="F433" s="31" t="s">
        <v>27</v>
      </c>
      <c r="G433" s="12" t="s">
        <v>9</v>
      </c>
      <c r="H433" s="14">
        <v>0.21</v>
      </c>
      <c r="I433" s="13">
        <f>IF($C$12=3,0,IF($D$13=2,IF($E$13=4,IF($F$18=7,'Input-Output'!$E$16*0.001102*Calculations!H433*0.4536,0),0),0))</f>
        <v>0</v>
      </c>
      <c r="J433" s="15" t="s">
        <v>187</v>
      </c>
    </row>
    <row r="434" spans="3:10" ht="15">
      <c r="C434" s="11"/>
      <c r="D434" s="31"/>
      <c r="E434" s="31"/>
      <c r="F434" s="31" t="s">
        <v>28</v>
      </c>
      <c r="G434" s="12" t="s">
        <v>9</v>
      </c>
      <c r="H434" s="14">
        <v>0.36</v>
      </c>
      <c r="I434" s="13">
        <f>IF($C$12=3,0,IF($D$13=2,IF($E$13=4,IF($F$18=7,'Input-Output'!$E$16*0.001102*Calculations!H434*0.4536,0),0),0))</f>
        <v>0</v>
      </c>
      <c r="J434" s="15" t="s">
        <v>188</v>
      </c>
    </row>
    <row r="435" spans="3:10" ht="15">
      <c r="C435" s="11"/>
      <c r="D435" s="31"/>
      <c r="E435" s="31"/>
      <c r="F435" s="31" t="s">
        <v>31</v>
      </c>
      <c r="G435" s="12" t="s">
        <v>32</v>
      </c>
      <c r="H435" s="14">
        <v>0.015</v>
      </c>
      <c r="I435" s="13">
        <f>IF($C$12=3,0,IF($D$13=2,IF($E$13=4,IF($F$18=7,'Input-Output'!$E$16*0.001102*Calculations!H435*0.4536,0),0),0))</f>
        <v>0</v>
      </c>
      <c r="J435" s="15" t="s">
        <v>187</v>
      </c>
    </row>
    <row r="436" spans="3:10" ht="15">
      <c r="C436" s="11"/>
      <c r="D436" s="31"/>
      <c r="E436" s="31"/>
      <c r="F436" s="31" t="s">
        <v>33</v>
      </c>
      <c r="G436" s="12" t="s">
        <v>34</v>
      </c>
      <c r="H436" s="14">
        <v>0.007</v>
      </c>
      <c r="I436" s="13">
        <f>IF($C$12=3,0,IF($D$13=2,IF($E$13=4,IF($F$18=7,'Input-Output'!$E$16*0.001102*Calculations!H436*0.4536,0),0),0))</f>
        <v>0</v>
      </c>
      <c r="J436" s="15" t="s">
        <v>188</v>
      </c>
    </row>
    <row r="437" spans="3:10" ht="15">
      <c r="C437" s="11"/>
      <c r="D437" s="31"/>
      <c r="E437" s="31"/>
      <c r="F437" s="31" t="s">
        <v>35</v>
      </c>
      <c r="G437" s="12" t="s">
        <v>36</v>
      </c>
      <c r="H437" s="14">
        <v>0.019</v>
      </c>
      <c r="I437" s="13">
        <f>IF($C$12=3,0,IF($D$13=2,IF($E$13=4,IF($F$18=7,'Input-Output'!$E$16*0.001102*Calculations!H437*0.4536,0),0),0))</f>
        <v>0</v>
      </c>
      <c r="J437" s="15" t="s">
        <v>188</v>
      </c>
    </row>
    <row r="438" spans="3:10" ht="15">
      <c r="C438" s="11"/>
      <c r="D438" s="31"/>
      <c r="E438" s="31"/>
      <c r="F438" s="31" t="s">
        <v>73</v>
      </c>
      <c r="G438" s="12" t="s">
        <v>74</v>
      </c>
      <c r="H438" s="14">
        <v>0.013</v>
      </c>
      <c r="I438" s="13">
        <f>IF($C$12=3,0,IF($D$13=2,IF($E$13=4,IF($F$18=7,'Input-Output'!$E$16*0.001102*Calculations!H438*0.4536,0),0),0))</f>
        <v>0</v>
      </c>
      <c r="J438" s="15" t="s">
        <v>188</v>
      </c>
    </row>
    <row r="439" spans="3:10" ht="15">
      <c r="C439" s="11"/>
      <c r="D439" s="31"/>
      <c r="E439" s="31"/>
      <c r="F439" s="31" t="s">
        <v>75</v>
      </c>
      <c r="G439" s="12" t="s">
        <v>76</v>
      </c>
      <c r="H439" s="14">
        <v>0.008</v>
      </c>
      <c r="I439" s="13">
        <f>IF($C$12=3,0,IF($D$13=2,IF($E$13=4,IF($F$18=7,'Input-Output'!$E$16*0.001102*Calculations!H439*0.4536,0),0),0))</f>
        <v>0</v>
      </c>
      <c r="J439" s="15" t="s">
        <v>188</v>
      </c>
    </row>
    <row r="440" spans="3:10" ht="15">
      <c r="C440" s="11"/>
      <c r="D440" s="31"/>
      <c r="E440" s="31"/>
      <c r="F440" s="31" t="s">
        <v>49</v>
      </c>
      <c r="G440" s="12" t="s">
        <v>50</v>
      </c>
      <c r="H440" s="14">
        <v>0.17</v>
      </c>
      <c r="I440" s="13">
        <f>IF($C$12=3,0,IF($D$13=2,IF($E$13=4,IF($F$18=7,'Input-Output'!$E$16*0.001102*Calculations!H440*0.4536,0),0),0))</f>
        <v>0</v>
      </c>
      <c r="J440" s="15" t="s">
        <v>187</v>
      </c>
    </row>
    <row r="441" spans="3:10" ht="15">
      <c r="C441" s="11"/>
      <c r="D441" s="31"/>
      <c r="E441" s="40"/>
      <c r="F441" s="40" t="s">
        <v>67</v>
      </c>
      <c r="G441" s="41" t="s">
        <v>68</v>
      </c>
      <c r="H441" s="14">
        <v>0.006</v>
      </c>
      <c r="I441" s="85">
        <f>IF($C$12=3,0,IF($D$13=2,IF($E$13=4,IF($F$18=7,'Input-Output'!$E$16*0.001102*Calculations!H441*0.4536,0),0),0))</f>
        <v>0</v>
      </c>
      <c r="J441" s="43" t="s">
        <v>187</v>
      </c>
    </row>
    <row r="442" spans="3:10" ht="18">
      <c r="C442" s="11"/>
      <c r="D442" s="31"/>
      <c r="E442" s="44" t="s">
        <v>190</v>
      </c>
      <c r="F442" s="44" t="s">
        <v>199</v>
      </c>
      <c r="G442" s="45" t="s">
        <v>9</v>
      </c>
      <c r="H442" s="83">
        <f>5.8*(AVERAGE(0.0836,0.0839))</f>
        <v>0.48574999999999996</v>
      </c>
      <c r="I442" s="87">
        <f>IF($C$12=3,0,IF($D$13=2,IF($E$13=4,IF($F$18=8,'Input-Output'!$E$16*0.001102*Calculations!H442*0.4536,0),0),0))</f>
        <v>0</v>
      </c>
      <c r="J442" s="15" t="s">
        <v>187</v>
      </c>
    </row>
    <row r="443" spans="3:10" ht="18">
      <c r="C443" s="11"/>
      <c r="D443" s="31"/>
      <c r="E443" s="31"/>
      <c r="F443" s="31" t="s">
        <v>133</v>
      </c>
      <c r="G443" s="12" t="s">
        <v>9</v>
      </c>
      <c r="H443" s="76">
        <f>H442*0.61</f>
        <v>0.29630749999999995</v>
      </c>
      <c r="I443" s="13">
        <f>IF($C$12=3,0,IF($D$13=2,IF($E$13=4,IF($F$18=8,'Input-Output'!$E$16*0.001102*Calculations!H443*0.4536,0),0),0))</f>
        <v>0</v>
      </c>
      <c r="J443" s="15" t="s">
        <v>187</v>
      </c>
    </row>
    <row r="444" spans="3:10" ht="18">
      <c r="C444" s="11"/>
      <c r="D444" s="31"/>
      <c r="E444" s="31"/>
      <c r="F444" s="31" t="s">
        <v>132</v>
      </c>
      <c r="G444" s="12" t="s">
        <v>9</v>
      </c>
      <c r="H444" s="76">
        <f>H443*0.79</f>
        <v>0.23408292499999997</v>
      </c>
      <c r="I444" s="13">
        <f>IF($C$12=3,0,IF($D$13=2,IF($E$13=4,IF($F$18=8,'Input-Output'!$E$16*0.001102*Calculations!H444*0.4536,0),0),0))</f>
        <v>0</v>
      </c>
      <c r="J444" s="15" t="s">
        <v>187</v>
      </c>
    </row>
    <row r="445" spans="3:10" ht="15">
      <c r="C445" s="11"/>
      <c r="D445" s="31"/>
      <c r="E445" s="31"/>
      <c r="F445" s="31" t="s">
        <v>18</v>
      </c>
      <c r="G445" s="12" t="s">
        <v>25</v>
      </c>
      <c r="H445" s="76">
        <f>0.51*(1.114*0.5+0.666*0.5)</f>
        <v>0.4539000000000001</v>
      </c>
      <c r="I445" s="13">
        <f>IF($C$12=3,0,IF($D$13=2,IF($E$13=4,IF($F$18=8,'Input-Output'!$E$16*0.001102*Calculations!H445*0.4536,0),0),0))</f>
        <v>0</v>
      </c>
      <c r="J445" s="15" t="s">
        <v>187</v>
      </c>
    </row>
    <row r="446" spans="3:10" ht="15">
      <c r="C446" s="11"/>
      <c r="D446" s="31"/>
      <c r="E446" s="31"/>
      <c r="F446" s="31" t="s">
        <v>19</v>
      </c>
      <c r="G446" s="12" t="s">
        <v>20</v>
      </c>
      <c r="H446" s="13">
        <f>5.9*0.306</f>
        <v>1.8054000000000001</v>
      </c>
      <c r="I446" s="13">
        <f>IF($C$12=3,0,IF($D$13=2,IF($E$13=4,IF($F$18=8,'Input-Output'!$E$16*0.001102*Calculations!H446*0.4536,0),0),0))</f>
        <v>0</v>
      </c>
      <c r="J446" s="15" t="s">
        <v>187</v>
      </c>
    </row>
    <row r="447" spans="3:10" ht="15">
      <c r="C447" s="11"/>
      <c r="D447" s="31"/>
      <c r="E447" s="31"/>
      <c r="F447" s="31" t="s">
        <v>21</v>
      </c>
      <c r="G447" s="12" t="s">
        <v>22</v>
      </c>
      <c r="H447" s="13">
        <f>670*1.175</f>
        <v>787.25</v>
      </c>
      <c r="I447" s="13">
        <f>IF($C$12=3,0,IF($D$13=2,IF($E$13=4,IF($F$18=8,'Input-Output'!$E$16*0.001102*Calculations!H447*0.4536,0),0),0))</f>
        <v>0</v>
      </c>
      <c r="J447" s="15" t="s">
        <v>188</v>
      </c>
    </row>
    <row r="448" spans="3:10" ht="15">
      <c r="C448" s="11"/>
      <c r="D448" s="31"/>
      <c r="E448" s="31"/>
      <c r="F448" s="31" t="s">
        <v>27</v>
      </c>
      <c r="G448" s="12" t="s">
        <v>9</v>
      </c>
      <c r="H448" s="14">
        <v>0.21</v>
      </c>
      <c r="I448" s="13">
        <f>IF($C$12=3,0,IF($D$13=2,IF($E$13=4,IF($F$18=8,'Input-Output'!$E$16*0.001102*Calculations!H448*0.4536,0),0),0))</f>
        <v>0</v>
      </c>
      <c r="J448" s="15" t="s">
        <v>187</v>
      </c>
    </row>
    <row r="449" spans="3:10" ht="15">
      <c r="C449" s="11"/>
      <c r="D449" s="31"/>
      <c r="E449" s="31"/>
      <c r="F449" s="31" t="s">
        <v>28</v>
      </c>
      <c r="G449" s="12" t="s">
        <v>9</v>
      </c>
      <c r="H449" s="14">
        <v>0.36</v>
      </c>
      <c r="I449" s="13">
        <f>IF($C$12=3,0,IF($D$13=2,IF($E$13=4,IF($F$18=8,'Input-Output'!$E$16*0.001102*Calculations!H449*0.4536,0),0),0))</f>
        <v>0</v>
      </c>
      <c r="J449" s="15" t="s">
        <v>188</v>
      </c>
    </row>
    <row r="450" spans="3:10" ht="15">
      <c r="C450" s="11"/>
      <c r="D450" s="31"/>
      <c r="E450" s="31"/>
      <c r="F450" s="31" t="s">
        <v>31</v>
      </c>
      <c r="G450" s="12" t="s">
        <v>32</v>
      </c>
      <c r="H450" s="14">
        <v>0.015</v>
      </c>
      <c r="I450" s="13">
        <f>IF($C$12=3,0,IF($D$13=2,IF($E$13=4,IF($F$18=8,'Input-Output'!$E$16*0.001102*Calculations!H450*0.4536,0),0),0))</f>
        <v>0</v>
      </c>
      <c r="J450" s="15" t="s">
        <v>187</v>
      </c>
    </row>
    <row r="451" spans="3:10" ht="15">
      <c r="C451" s="11"/>
      <c r="D451" s="31"/>
      <c r="E451" s="31"/>
      <c r="F451" s="31" t="s">
        <v>33</v>
      </c>
      <c r="G451" s="12" t="s">
        <v>34</v>
      </c>
      <c r="H451" s="14">
        <v>0.007</v>
      </c>
      <c r="I451" s="13">
        <f>IF($C$12=3,0,IF($D$13=2,IF($E$13=4,IF($F$18=8,'Input-Output'!$E$16*0.001102*Calculations!H451*0.4536,0),0),0))</f>
        <v>0</v>
      </c>
      <c r="J451" s="15" t="s">
        <v>188</v>
      </c>
    </row>
    <row r="452" spans="3:10" ht="15">
      <c r="C452" s="11"/>
      <c r="D452" s="31"/>
      <c r="E452" s="31"/>
      <c r="F452" s="31" t="s">
        <v>35</v>
      </c>
      <c r="G452" s="12" t="s">
        <v>36</v>
      </c>
      <c r="H452" s="14">
        <v>0.019</v>
      </c>
      <c r="I452" s="13">
        <f>IF($C$12=3,0,IF($D$13=2,IF($E$13=4,IF($F$18=8,'Input-Output'!$E$16*0.001102*Calculations!H452*0.4536,0),0),0))</f>
        <v>0</v>
      </c>
      <c r="J452" s="15" t="s">
        <v>188</v>
      </c>
    </row>
    <row r="453" spans="3:10" ht="15">
      <c r="C453" s="11"/>
      <c r="D453" s="31"/>
      <c r="E453" s="31"/>
      <c r="F453" s="31" t="s">
        <v>73</v>
      </c>
      <c r="G453" s="12" t="s">
        <v>74</v>
      </c>
      <c r="H453" s="14">
        <v>0.013</v>
      </c>
      <c r="I453" s="13">
        <f>IF($C$12=3,0,IF($D$13=2,IF($E$13=4,IF($F$18=8,'Input-Output'!$E$16*0.001102*Calculations!H453*0.4536,0),0),0))</f>
        <v>0</v>
      </c>
      <c r="J453" s="15" t="s">
        <v>188</v>
      </c>
    </row>
    <row r="454" spans="3:10" ht="15">
      <c r="C454" s="11"/>
      <c r="D454" s="31"/>
      <c r="E454" s="31"/>
      <c r="F454" s="31" t="s">
        <v>75</v>
      </c>
      <c r="G454" s="12" t="s">
        <v>76</v>
      </c>
      <c r="H454" s="14">
        <v>0.008</v>
      </c>
      <c r="I454" s="13">
        <f>IF($C$12=3,0,IF($D$13=2,IF($E$13=4,IF($F$18=8,'Input-Output'!$E$16*0.001102*Calculations!H454*0.4536,0),0),0))</f>
        <v>0</v>
      </c>
      <c r="J454" s="15" t="s">
        <v>188</v>
      </c>
    </row>
    <row r="455" spans="3:10" ht="15">
      <c r="C455" s="11"/>
      <c r="D455" s="31"/>
      <c r="E455" s="31"/>
      <c r="F455" s="31" t="s">
        <v>49</v>
      </c>
      <c r="G455" s="12" t="s">
        <v>50</v>
      </c>
      <c r="H455" s="14">
        <v>0.17</v>
      </c>
      <c r="I455" s="13">
        <f>IF($C$12=3,0,IF($D$13=2,IF($E$13=4,IF($F$18=8,'Input-Output'!$E$16*0.001102*Calculations!H455*0.4536,0),0),0))</f>
        <v>0</v>
      </c>
      <c r="J455" s="15" t="s">
        <v>187</v>
      </c>
    </row>
    <row r="456" spans="3:10" ht="15">
      <c r="C456" s="48"/>
      <c r="D456" s="40"/>
      <c r="E456" s="40"/>
      <c r="F456" s="40" t="s">
        <v>67</v>
      </c>
      <c r="G456" s="41" t="s">
        <v>68</v>
      </c>
      <c r="H456" s="42">
        <v>0.006</v>
      </c>
      <c r="I456" s="85">
        <f>IF($C$12=3,0,IF($D$13=2,IF($E$13=4,IF($F$18=8,'Input-Output'!$E$16*0.001102*Calculations!H456*0.4536,0),0),0))</f>
        <v>0</v>
      </c>
      <c r="J456" s="43" t="s">
        <v>187</v>
      </c>
    </row>
    <row r="457" spans="3:10" ht="15.75" customHeight="1">
      <c r="C457" s="11" t="s">
        <v>26</v>
      </c>
      <c r="D457" s="31" t="s">
        <v>14</v>
      </c>
      <c r="E457" s="291" t="s">
        <v>242</v>
      </c>
      <c r="F457" s="31" t="s">
        <v>18</v>
      </c>
      <c r="G457" s="12" t="s">
        <v>25</v>
      </c>
      <c r="H457" s="14">
        <v>0.68</v>
      </c>
      <c r="I457" s="87">
        <f>IF($C$12=2,IF($D$13=3,IF($E$13=3,IF($F$18=1,0,IF($F$18&lt;6,'Input-Output'!$E$16*Calculations!H457*0.001102*0.4536,0)),0),0),0)</f>
        <v>0</v>
      </c>
      <c r="J457" s="15" t="s">
        <v>188</v>
      </c>
    </row>
    <row r="458" spans="3:10" ht="15">
      <c r="C458" s="11"/>
      <c r="D458" s="31"/>
      <c r="E458" s="292"/>
      <c r="F458" s="31" t="s">
        <v>19</v>
      </c>
      <c r="G458" s="12" t="s">
        <v>20</v>
      </c>
      <c r="H458" s="14">
        <v>0.72</v>
      </c>
      <c r="I458" s="13">
        <f>IF($C$12=2,IF($D$13=3,IF($E$13=3,IF($F$18=1,0,IF($F$18&lt;6,'Input-Output'!$E$16*Calculations!H458*0.001102*0.4536,0)),0),0),0)</f>
        <v>0</v>
      </c>
      <c r="J458" s="15" t="s">
        <v>187</v>
      </c>
    </row>
    <row r="459" spans="3:10" ht="15">
      <c r="C459" s="11"/>
      <c r="D459" s="31"/>
      <c r="E459" s="292"/>
      <c r="F459" s="31" t="s">
        <v>21</v>
      </c>
      <c r="G459" s="12" t="s">
        <v>22</v>
      </c>
      <c r="H459" s="14">
        <v>330</v>
      </c>
      <c r="I459" s="13">
        <f>IF($C$12=2,IF($D$13=3,IF($E$13=3,IF($F$18=1,0,IF($F$18&lt;6,'Input-Output'!$E$16*Calculations!H459*0.001102*0.4536,0)),0),0),0)</f>
        <v>0</v>
      </c>
      <c r="J459" s="15" t="s">
        <v>188</v>
      </c>
    </row>
    <row r="460" spans="3:10" ht="18">
      <c r="C460" s="11"/>
      <c r="D460" s="31"/>
      <c r="E460" s="292"/>
      <c r="F460" s="31" t="s">
        <v>141</v>
      </c>
      <c r="G460" s="12" t="s">
        <v>9</v>
      </c>
      <c r="H460" s="14">
        <v>0.036</v>
      </c>
      <c r="I460" s="13">
        <f>IF($C$12=2,IF($D$13=3,IF($E$13=3,IF($F$18=1,0,IF($F$18&lt;6,'Input-Output'!$E$16*Calculations!H460*0.001102*0.4536,0)),0),0),0)</f>
        <v>0</v>
      </c>
      <c r="J460" s="15" t="s">
        <v>188</v>
      </c>
    </row>
    <row r="461" spans="3:10" ht="15">
      <c r="C461" s="11"/>
      <c r="D461" s="31"/>
      <c r="E461" s="40"/>
      <c r="F461" s="40" t="s">
        <v>49</v>
      </c>
      <c r="G461" s="41" t="s">
        <v>50</v>
      </c>
      <c r="H461" s="42">
        <v>0.036</v>
      </c>
      <c r="I461" s="85">
        <f>IF($C$12=2,IF($D$13=3,IF($E$13=3,IF($F$18=1,0,IF($F$18&lt;6,'Input-Output'!$E$16*Calculations!H461*0.001102*0.4536,0)),0),0),0)</f>
        <v>0</v>
      </c>
      <c r="J461" s="43" t="s">
        <v>188</v>
      </c>
    </row>
    <row r="462" spans="3:10" ht="15">
      <c r="C462" s="11"/>
      <c r="D462" s="31"/>
      <c r="E462" s="291" t="s">
        <v>243</v>
      </c>
      <c r="F462" s="31" t="s">
        <v>18</v>
      </c>
      <c r="G462" s="12" t="s">
        <v>25</v>
      </c>
      <c r="H462" s="13">
        <f>0.68*0.42/0.63</f>
        <v>0.45333333333333337</v>
      </c>
      <c r="I462" s="87">
        <f>IF($C$12=2,IF($D$13=3,IF($E$13=3,IF($F$18=1,0,IF($F$18&lt;6,0,IF($F$18=9,0,'Input-Output'!$E$16*0.001102*Calculations!H462*0.4536))),0),0),0)</f>
        <v>0</v>
      </c>
      <c r="J462" s="15" t="s">
        <v>188</v>
      </c>
    </row>
    <row r="463" spans="3:10" ht="15">
      <c r="C463" s="11"/>
      <c r="D463" s="31"/>
      <c r="E463" s="292"/>
      <c r="F463" s="31" t="s">
        <v>19</v>
      </c>
      <c r="G463" s="12" t="s">
        <v>20</v>
      </c>
      <c r="H463" s="13">
        <f>0.72*1.5/5.5</f>
        <v>0.19636363636363638</v>
      </c>
      <c r="I463" s="13">
        <f>IF($C$12=2,IF($D$13=3,IF($E$13=3,IF($F$18=1,0,IF($F$18&lt;6,0,IF($F$18=9,0,'Input-Output'!$E$16*0.001102*Calculations!H463*0.4536))),0),0),0)</f>
        <v>0</v>
      </c>
      <c r="J463" s="15" t="s">
        <v>188</v>
      </c>
    </row>
    <row r="464" spans="3:10" ht="15">
      <c r="C464" s="11"/>
      <c r="D464" s="31"/>
      <c r="E464" s="292"/>
      <c r="F464" s="31" t="s">
        <v>21</v>
      </c>
      <c r="G464" s="12" t="s">
        <v>22</v>
      </c>
      <c r="H464" s="13">
        <f>330*680/780</f>
        <v>287.6923076923077</v>
      </c>
      <c r="I464" s="13">
        <f>IF($C$12=2,IF($D$13=3,IF($E$13=3,IF($F$18=1,0,IF($F$18&lt;6,0,IF($F$18=9,0,'Input-Output'!$E$16*0.001102*Calculations!H464*0.4536))),0),0),0)</f>
        <v>0</v>
      </c>
      <c r="J464" s="15" t="s">
        <v>188</v>
      </c>
    </row>
    <row r="465" spans="3:10" ht="18">
      <c r="C465" s="11"/>
      <c r="D465" s="31"/>
      <c r="E465" s="292"/>
      <c r="F465" s="31" t="s">
        <v>141</v>
      </c>
      <c r="G465" s="12" t="s">
        <v>9</v>
      </c>
      <c r="H465" s="75">
        <f>0.036*0.124</f>
        <v>0.004463999999999999</v>
      </c>
      <c r="I465" s="13">
        <f>IF($C$12=2,IF($D$13=3,IF($E$13=3,IF($F$18=1,0,IF($F$18&lt;6,0,IF($F$18=9,0,'Input-Output'!$E$16*0.001102*Calculations!H465*0.4536))),0),0),0)</f>
        <v>0</v>
      </c>
      <c r="J465" s="15" t="s">
        <v>188</v>
      </c>
    </row>
    <row r="466" spans="3:10" ht="15">
      <c r="C466" s="11"/>
      <c r="D466" s="31"/>
      <c r="E466" s="40"/>
      <c r="F466" s="40" t="s">
        <v>49</v>
      </c>
      <c r="G466" s="41" t="s">
        <v>50</v>
      </c>
      <c r="H466" s="84">
        <f>0.036*0.836</f>
        <v>0.030095999999999998</v>
      </c>
      <c r="I466" s="85">
        <f>IF($C$12=2,IF($D$13=3,IF($E$13=3,IF($F$18=1,0,IF($F$18&lt;6,0,IF($F$18=9,0,'Input-Output'!$E$16*0.001102*Calculations!H466*0.4536))),0),0),0)</f>
        <v>0</v>
      </c>
      <c r="J466" s="43" t="s">
        <v>188</v>
      </c>
    </row>
    <row r="467" spans="3:10" ht="15.75" customHeight="1">
      <c r="C467" s="11"/>
      <c r="D467" s="31"/>
      <c r="E467" s="291" t="s">
        <v>249</v>
      </c>
      <c r="F467" s="31" t="s">
        <v>18</v>
      </c>
      <c r="G467" s="12" t="s">
        <v>25</v>
      </c>
      <c r="H467" s="14">
        <v>0.68</v>
      </c>
      <c r="I467" s="87">
        <f>IF($C$12=2,IF($D$13=3,IF($E$13=3,IF($F$18=9,'Input-Output'!$E$16*0.001102*Calculations!H467*0.4536,0),0),0),0)</f>
        <v>0</v>
      </c>
      <c r="J467" s="15" t="s">
        <v>188</v>
      </c>
    </row>
    <row r="468" spans="3:10" ht="15">
      <c r="C468" s="11"/>
      <c r="D468" s="31"/>
      <c r="E468" s="292"/>
      <c r="F468" s="31" t="s">
        <v>19</v>
      </c>
      <c r="G468" s="12" t="s">
        <v>20</v>
      </c>
      <c r="H468" s="14">
        <v>0.72</v>
      </c>
      <c r="I468" s="13">
        <f>IF($C$12=2,IF($D$13=3,IF($E$13=3,IF($F$18=9,'Input-Output'!$E$16*0.001102*Calculations!H468*0.4536,0),0),0),0)</f>
        <v>0</v>
      </c>
      <c r="J468" s="15" t="s">
        <v>187</v>
      </c>
    </row>
    <row r="469" spans="3:10" ht="15">
      <c r="C469" s="11"/>
      <c r="D469" s="31"/>
      <c r="E469" s="292"/>
      <c r="F469" s="31" t="s">
        <v>21</v>
      </c>
      <c r="G469" s="12" t="s">
        <v>22</v>
      </c>
      <c r="H469" s="14">
        <v>330</v>
      </c>
      <c r="I469" s="13">
        <f>IF($C$12=2,IF($D$13=3,IF($E$13=3,IF($F$18=9,'Input-Output'!$E$16*0.001102*Calculations!H469*0.4536,0),0),0),0)</f>
        <v>0</v>
      </c>
      <c r="J469" s="15" t="s">
        <v>188</v>
      </c>
    </row>
    <row r="470" spans="3:10" ht="18">
      <c r="C470" s="11"/>
      <c r="D470" s="31"/>
      <c r="E470" s="292"/>
      <c r="F470" s="31" t="s">
        <v>141</v>
      </c>
      <c r="G470" s="12" t="s">
        <v>9</v>
      </c>
      <c r="H470" s="14">
        <v>0.036</v>
      </c>
      <c r="I470" s="13">
        <f>IF($C$12=2,IF($D$13=3,IF($E$13=3,IF($F$18=9,'Input-Output'!$E$16*0.001102*Calculations!H470*0.4536,0),0),0),0)</f>
        <v>0</v>
      </c>
      <c r="J470" s="15" t="s">
        <v>188</v>
      </c>
    </row>
    <row r="471" spans="3:10" ht="15">
      <c r="C471" s="48"/>
      <c r="D471" s="40"/>
      <c r="E471" s="40"/>
      <c r="F471" s="40" t="s">
        <v>49</v>
      </c>
      <c r="G471" s="41" t="s">
        <v>50</v>
      </c>
      <c r="H471" s="42">
        <v>0.036</v>
      </c>
      <c r="I471" s="85">
        <f>IF($C$12=2,IF($D$13=3,IF($E$13=3,IF($F$18=9,'Input-Output'!$E$16*0.001102*Calculations!H471*0.4536,0),0),0),0)</f>
        <v>0</v>
      </c>
      <c r="J471" s="43" t="s">
        <v>188</v>
      </c>
    </row>
    <row r="472" spans="3:10" ht="18">
      <c r="C472" s="11" t="s">
        <v>26</v>
      </c>
      <c r="D472" s="31" t="s">
        <v>244</v>
      </c>
      <c r="E472" s="291" t="s">
        <v>242</v>
      </c>
      <c r="F472" s="31" t="s">
        <v>18</v>
      </c>
      <c r="G472" s="12" t="s">
        <v>25</v>
      </c>
      <c r="H472" s="13">
        <f>0.68*0.7/0.51</f>
        <v>0.9333333333333332</v>
      </c>
      <c r="I472" s="87">
        <f>IF($C$12=3,0,IF($D$13=3,IF($E$13=2,IF($F$18&lt;6,'Input-Output'!$E$16*0.001102*Calculations!H472*0.4536,IF($F$18=9,'Input-Output'!$E$16*0.001102*Calculations!H472*0.4536,0)*0),0),0))</f>
        <v>0</v>
      </c>
      <c r="J472" s="15" t="s">
        <v>188</v>
      </c>
    </row>
    <row r="473" spans="3:10" ht="15">
      <c r="C473" s="11"/>
      <c r="D473" s="31"/>
      <c r="E473" s="292"/>
      <c r="F473" s="31" t="s">
        <v>19</v>
      </c>
      <c r="G473" s="12" t="s">
        <v>20</v>
      </c>
      <c r="H473" s="13">
        <f>0.72*5.3/5.9</f>
        <v>0.6467796610169491</v>
      </c>
      <c r="I473" s="13">
        <f>IF($C$12=3,0,IF($D$13=3,IF($E$13=2,IF($F$18&lt;6,'Input-Output'!$E$16*0.001102*Calculations!H473*0.4536,IF($F$18=9,'Input-Output'!$E$16*0.001102*Calculations!H473*0.4536,0)*0),0),0))</f>
        <v>0</v>
      </c>
      <c r="J473" s="15" t="s">
        <v>188</v>
      </c>
    </row>
    <row r="474" spans="3:10" ht="15">
      <c r="C474" s="11"/>
      <c r="D474" s="31"/>
      <c r="E474" s="292"/>
      <c r="F474" s="31" t="s">
        <v>21</v>
      </c>
      <c r="G474" s="12" t="s">
        <v>22</v>
      </c>
      <c r="H474" s="13">
        <f>330*600/670</f>
        <v>295.5223880597015</v>
      </c>
      <c r="I474" s="13">
        <f>IF($C$12=3,0,IF($D$13=3,IF($E$13=2,IF($F$18&lt;6,'Input-Output'!$E$16*0.001102*Calculations!H474*0.4536,IF($F$18=9,'Input-Output'!$E$16*0.001102*Calculations!H474*0.4536,0)*0),0),0))</f>
        <v>0</v>
      </c>
      <c r="J474" s="15" t="s">
        <v>188</v>
      </c>
    </row>
    <row r="475" spans="3:10" ht="18">
      <c r="C475" s="11"/>
      <c r="D475" s="31"/>
      <c r="E475" s="292"/>
      <c r="F475" s="31" t="s">
        <v>141</v>
      </c>
      <c r="G475" s="12" t="s">
        <v>9</v>
      </c>
      <c r="H475" s="76">
        <f>0.036*8.1/2.1</f>
        <v>0.13885714285714285</v>
      </c>
      <c r="I475" s="13">
        <f>IF($C$12=3,0,IF($D$13=3,IF($E$13=2,IF($F$18&lt;6,'Input-Output'!$E$16*0.001102*Calculations!H475*0.4536,IF($F$18=9,'Input-Output'!$E$16*0.001102*Calculations!H475*0.4536,0)*0),0),0))</f>
        <v>0</v>
      </c>
      <c r="J475" s="15" t="s">
        <v>188</v>
      </c>
    </row>
    <row r="476" spans="3:10" ht="15">
      <c r="C476" s="11"/>
      <c r="D476" s="31"/>
      <c r="E476" s="40"/>
      <c r="F476" s="40" t="s">
        <v>49</v>
      </c>
      <c r="G476" s="41" t="s">
        <v>50</v>
      </c>
      <c r="H476" s="84">
        <f>0.036*0.13/0.11</f>
        <v>0.042545454545454546</v>
      </c>
      <c r="I476" s="85">
        <f>IF($C$12=3,0,IF($D$13=3,IF($E$13=2,IF($F$18&lt;6,'Input-Output'!$E$16*0.001102*Calculations!H476*0.4536,IF($F$18=9,'Input-Output'!$E$16*0.001102*Calculations!H476*0.4536,0)*0),0),0))</f>
        <v>0</v>
      </c>
      <c r="J476" s="43" t="s">
        <v>188</v>
      </c>
    </row>
    <row r="477" spans="3:10" ht="15.75" customHeight="1">
      <c r="C477" s="11"/>
      <c r="D477" s="31"/>
      <c r="E477" s="291" t="s">
        <v>243</v>
      </c>
      <c r="F477" s="31" t="s">
        <v>18</v>
      </c>
      <c r="G477" s="12" t="s">
        <v>25</v>
      </c>
      <c r="H477" s="13">
        <f>0.9*0.78/0.7</f>
        <v>1.0028571428571431</v>
      </c>
      <c r="I477" s="87">
        <f>IF($C$12=2,IF($D$13=3,IF($E$13=2,IF($F$18=1,0,IF($F$18&lt;6,0,IF($F$18=9,0,'Input-Output'!$E$16*0.001102*Calculations!H477*0.4536))),0),0),0)</f>
        <v>0</v>
      </c>
      <c r="J477" s="15" t="s">
        <v>188</v>
      </c>
    </row>
    <row r="478" spans="3:10" ht="15">
      <c r="C478" s="11"/>
      <c r="D478" s="31"/>
      <c r="E478" s="292"/>
      <c r="F478" s="31" t="s">
        <v>19</v>
      </c>
      <c r="G478" s="12" t="s">
        <v>20</v>
      </c>
      <c r="H478" s="13">
        <f>0.6*1.8/5.3</f>
        <v>0.2037735849056604</v>
      </c>
      <c r="I478" s="13">
        <f>IF($C$12=2,IF($D$13=3,IF($E$13=2,IF($F$18=1,0,IF($F$18&lt;6,0,IF($F$18=9,0,'Input-Output'!$E$16*0.001102*Calculations!H478*0.4536))),0),0),0)</f>
        <v>0</v>
      </c>
      <c r="J478" s="15" t="s">
        <v>188</v>
      </c>
    </row>
    <row r="479" spans="3:10" ht="15">
      <c r="C479" s="11"/>
      <c r="D479" s="31"/>
      <c r="E479" s="292"/>
      <c r="F479" s="31" t="s">
        <v>21</v>
      </c>
      <c r="G479" s="12" t="s">
        <v>22</v>
      </c>
      <c r="H479" s="13">
        <f>330*600/670*720/600</f>
        <v>354.6268656716418</v>
      </c>
      <c r="I479" s="13">
        <f>IF($C$12=2,IF($D$13=3,IF($E$13=2,IF($F$18=1,0,IF($F$18&lt;6,0,IF($F$18=9,0,'Input-Output'!$E$16*0.001102*Calculations!H479*0.4536))),0),0),0)</f>
        <v>0</v>
      </c>
      <c r="J479" s="15" t="s">
        <v>188</v>
      </c>
    </row>
    <row r="480" spans="3:10" ht="18">
      <c r="C480" s="11"/>
      <c r="D480" s="31"/>
      <c r="E480" s="292"/>
      <c r="F480" s="31" t="s">
        <v>141</v>
      </c>
      <c r="G480" s="12" t="s">
        <v>9</v>
      </c>
      <c r="H480" s="76">
        <f>0.036*8.1/2.1*0.04</f>
        <v>0.005554285714285714</v>
      </c>
      <c r="I480" s="13">
        <f>IF($C$12=2,IF($D$13=3,IF($E$13=2,IF($F$18=1,0,IF($F$18&lt;6,0,IF($F$18=9,0,'Input-Output'!$E$16*0.001102*Calculations!H480*0.4536))),0),0),0)</f>
        <v>0</v>
      </c>
      <c r="J480" s="15" t="s">
        <v>188</v>
      </c>
    </row>
    <row r="481" spans="3:10" ht="15">
      <c r="C481" s="11"/>
      <c r="D481" s="31"/>
      <c r="E481" s="40"/>
      <c r="F481" s="40" t="s">
        <v>49</v>
      </c>
      <c r="G481" s="41" t="s">
        <v>50</v>
      </c>
      <c r="H481" s="84">
        <f>0.036*0.13/0.11*0.154</f>
        <v>0.006552</v>
      </c>
      <c r="I481" s="85">
        <f>IF($C$12=2,IF($D$13=3,IF($E$13=2,IF($F$18=1,0,IF($F$18&lt;6,0,IF($F$18=9,0,'Input-Output'!$E$16*0.001102*Calculations!H481*0.4536))),0),0),0)</f>
        <v>0</v>
      </c>
      <c r="J481" s="43" t="s">
        <v>188</v>
      </c>
    </row>
    <row r="482" spans="3:10" ht="15">
      <c r="C482" s="11"/>
      <c r="D482" s="31"/>
      <c r="E482" s="291" t="s">
        <v>249</v>
      </c>
      <c r="F482" s="31" t="s">
        <v>18</v>
      </c>
      <c r="G482" s="12" t="s">
        <v>25</v>
      </c>
      <c r="H482" s="13">
        <f>0.68*0.7/0.51</f>
        <v>0.9333333333333332</v>
      </c>
      <c r="I482" s="87">
        <f>IF($C$12=2,IF($D$13=3,IF($E$13=2,IF($F$18=9,'Input-Output'!$E$16*0.001102*Calculations!H482*0.4536,0),0),0),0)</f>
        <v>0</v>
      </c>
      <c r="J482" s="15" t="s">
        <v>188</v>
      </c>
    </row>
    <row r="483" spans="3:10" ht="15">
      <c r="C483" s="11"/>
      <c r="D483" s="31"/>
      <c r="E483" s="292"/>
      <c r="F483" s="31" t="s">
        <v>19</v>
      </c>
      <c r="G483" s="12" t="s">
        <v>20</v>
      </c>
      <c r="H483" s="13">
        <f>0.72*5.3/5.9</f>
        <v>0.6467796610169491</v>
      </c>
      <c r="I483" s="13">
        <f>IF($C$12=2,IF($D$13=3,IF($E$13=2,IF($F$18=9,'Input-Output'!$E$16*0.001102*Calculations!H483*0.4536,0),0),0),0)</f>
        <v>0</v>
      </c>
      <c r="J483" s="15" t="s">
        <v>188</v>
      </c>
    </row>
    <row r="484" spans="3:10" ht="15">
      <c r="C484" s="11"/>
      <c r="D484" s="31"/>
      <c r="E484" s="292"/>
      <c r="F484" s="31" t="s">
        <v>21</v>
      </c>
      <c r="G484" s="12" t="s">
        <v>22</v>
      </c>
      <c r="H484" s="13">
        <f>330*600/670</f>
        <v>295.5223880597015</v>
      </c>
      <c r="I484" s="13">
        <f>IF($C$12=2,IF($D$13=3,IF($E$13=2,IF($F$18=9,'Input-Output'!$E$16*0.001102*Calculations!H484*0.4536,0),0),0),0)</f>
        <v>0</v>
      </c>
      <c r="J484" s="15" t="s">
        <v>188</v>
      </c>
    </row>
    <row r="485" spans="3:10" ht="18">
      <c r="C485" s="11"/>
      <c r="D485" s="31"/>
      <c r="E485" s="292"/>
      <c r="F485" s="31" t="s">
        <v>141</v>
      </c>
      <c r="G485" s="12" t="s">
        <v>9</v>
      </c>
      <c r="H485" s="76">
        <f>0.036*8.1/2.1</f>
        <v>0.13885714285714285</v>
      </c>
      <c r="I485" s="13">
        <f>IF($C$12=2,IF($D$13=3,IF($E$13=2,IF($F$18=9,'Input-Output'!$E$16*0.001102*Calculations!H485*0.4536,0),0),0),0)</f>
        <v>0</v>
      </c>
      <c r="J485" s="15" t="s">
        <v>188</v>
      </c>
    </row>
    <row r="486" spans="3:10" ht="15">
      <c r="C486" s="48"/>
      <c r="D486" s="40"/>
      <c r="E486" s="40"/>
      <c r="F486" s="40" t="s">
        <v>49</v>
      </c>
      <c r="G486" s="41" t="s">
        <v>50</v>
      </c>
      <c r="H486" s="84">
        <f>0.036*0.13/0.11</f>
        <v>0.042545454545454546</v>
      </c>
      <c r="I486" s="85">
        <f>IF($C$12=2,IF($D$13=3,IF($E$13=2,IF($F$18=9,'Input-Output'!$E$16*0.001102*Calculations!H486*0.4536,0),0),0),0)</f>
        <v>0</v>
      </c>
      <c r="J486" s="43" t="s">
        <v>188</v>
      </c>
    </row>
    <row r="487" spans="3:10" ht="15.75" customHeight="1">
      <c r="C487" s="11" t="s">
        <v>26</v>
      </c>
      <c r="D487" s="31" t="s">
        <v>247</v>
      </c>
      <c r="E487" s="291" t="s">
        <v>242</v>
      </c>
      <c r="F487" s="31" t="s">
        <v>18</v>
      </c>
      <c r="G487" s="12" t="s">
        <v>25</v>
      </c>
      <c r="H487" s="13">
        <f aca="true" t="shared" si="0" ref="H487:H496">AVERAGE(H457,H472)</f>
        <v>0.8066666666666666</v>
      </c>
      <c r="I487" s="87">
        <f>IF($C$12=3,0,IF($D$13=3,IF($E$13=4,IF($F$18&lt;6,'Input-Output'!$E$16*0.001102*Calculations!H487*0.4536,IF($F$18=9,'Input-Output'!$E$16*0.001102*Calculations!H487*0.4536,0)*0),0),0))</f>
        <v>0</v>
      </c>
      <c r="J487" s="15" t="s">
        <v>188</v>
      </c>
    </row>
    <row r="488" spans="3:10" ht="15">
      <c r="C488" s="11"/>
      <c r="D488" s="31"/>
      <c r="E488" s="292"/>
      <c r="F488" s="31" t="s">
        <v>19</v>
      </c>
      <c r="G488" s="12" t="s">
        <v>20</v>
      </c>
      <c r="H488" s="13">
        <f t="shared" si="0"/>
        <v>0.6833898305084745</v>
      </c>
      <c r="I488" s="13">
        <f>IF($C$12=3,0,IF($D$13=3,IF($E$13=4,IF($F$18&lt;6,'Input-Output'!$E$16*0.001102*Calculations!H488*0.4536,IF($F$18=9,'Input-Output'!$E$16*0.001102*Calculations!H488*0.4536,0)*0),0),0))</f>
        <v>0</v>
      </c>
      <c r="J488" s="15" t="s">
        <v>188</v>
      </c>
    </row>
    <row r="489" spans="3:10" ht="15">
      <c r="C489" s="11"/>
      <c r="D489" s="31"/>
      <c r="E489" s="292"/>
      <c r="F489" s="31" t="s">
        <v>21</v>
      </c>
      <c r="G489" s="12" t="s">
        <v>22</v>
      </c>
      <c r="H489" s="13">
        <f t="shared" si="0"/>
        <v>312.76119402985074</v>
      </c>
      <c r="I489" s="13">
        <f>IF($C$12=3,0,IF($D$13=3,IF($E$13=4,IF($F$18&lt;6,'Input-Output'!$E$16*0.001102*Calculations!H489*0.4536,IF($F$18=9,'Input-Output'!$E$16*0.001102*Calculations!H489*0.4536,0)*0),0),0))</f>
        <v>0</v>
      </c>
      <c r="J489" s="15" t="s">
        <v>188</v>
      </c>
    </row>
    <row r="490" spans="3:10" ht="18">
      <c r="C490" s="11"/>
      <c r="D490" s="31"/>
      <c r="E490" s="292"/>
      <c r="F490" s="31" t="s">
        <v>141</v>
      </c>
      <c r="G490" s="12" t="s">
        <v>9</v>
      </c>
      <c r="H490" s="13">
        <f t="shared" si="0"/>
        <v>0.08742857142857142</v>
      </c>
      <c r="I490" s="13">
        <f>IF($C$12=3,0,IF($D$13=3,IF($E$13=4,IF($F$18&lt;6,'Input-Output'!$E$16*0.001102*Calculations!H490*0.4536,IF($F$18=9,'Input-Output'!$E$16*0.001102*Calculations!H490*0.4536,0)*0),0),0))</f>
        <v>0</v>
      </c>
      <c r="J490" s="15" t="s">
        <v>188</v>
      </c>
    </row>
    <row r="491" spans="3:10" ht="15">
      <c r="C491" s="11"/>
      <c r="D491" s="31"/>
      <c r="E491" s="40"/>
      <c r="F491" s="40" t="s">
        <v>49</v>
      </c>
      <c r="G491" s="41" t="s">
        <v>50</v>
      </c>
      <c r="H491" s="84">
        <f t="shared" si="0"/>
        <v>0.03927272727272727</v>
      </c>
      <c r="I491" s="85">
        <f>IF($C$12=3,0,IF($D$13=3,IF($E$13=4,IF($F$18&lt;6,'Input-Output'!$E$16*0.001102*Calculations!H491*0.4536,IF($F$18=9,'Input-Output'!$E$16*0.001102*Calculations!H491*0.4536,0)*0),0),0))</f>
        <v>0</v>
      </c>
      <c r="J491" s="43" t="s">
        <v>188</v>
      </c>
    </row>
    <row r="492" spans="3:10" ht="15.75" customHeight="1">
      <c r="C492" s="11"/>
      <c r="D492" s="31"/>
      <c r="E492" s="291" t="s">
        <v>243</v>
      </c>
      <c r="F492" s="31" t="s">
        <v>18</v>
      </c>
      <c r="G492" s="12" t="s">
        <v>25</v>
      </c>
      <c r="H492" s="13">
        <f t="shared" si="0"/>
        <v>0.7280952380952382</v>
      </c>
      <c r="I492" s="87">
        <f>IF($C$12=2,IF($D$13=3,IF($E$13=4,IF($F$18=1,0,IF($F$18&lt;6,0,IF($F$18=9,0,'Input-Output'!$E$16*0.001102*Calculations!H492*0.4536))),0),0),0)</f>
        <v>0</v>
      </c>
      <c r="J492" s="15" t="s">
        <v>188</v>
      </c>
    </row>
    <row r="493" spans="3:10" ht="15">
      <c r="C493" s="11"/>
      <c r="D493" s="31"/>
      <c r="E493" s="292"/>
      <c r="F493" s="31" t="s">
        <v>19</v>
      </c>
      <c r="G493" s="12" t="s">
        <v>20</v>
      </c>
      <c r="H493" s="13">
        <f t="shared" si="0"/>
        <v>0.20006861063464837</v>
      </c>
      <c r="I493" s="13">
        <f>IF($C$12=2,IF($D$13=3,IF($E$13=4,IF($F$18=1,0,IF($F$18&lt;6,0,IF($F$18=9,0,'Input-Output'!$E$16*0.001102*Calculations!H493*0.4536))),0),0),0)</f>
        <v>0</v>
      </c>
      <c r="J493" s="15" t="s">
        <v>188</v>
      </c>
    </row>
    <row r="494" spans="3:10" ht="15">
      <c r="C494" s="11"/>
      <c r="D494" s="31"/>
      <c r="E494" s="292"/>
      <c r="F494" s="31" t="s">
        <v>21</v>
      </c>
      <c r="G494" s="12" t="s">
        <v>22</v>
      </c>
      <c r="H494" s="13">
        <f t="shared" si="0"/>
        <v>321.1595866819747</v>
      </c>
      <c r="I494" s="13">
        <f>IF($C$12=2,IF($D$13=3,IF($E$13=4,IF($F$18=1,0,IF($F$18&lt;6,0,IF($F$18=9,0,'Input-Output'!$E$16*0.001102*Calculations!H494*0.4536))),0),0),0)</f>
        <v>0</v>
      </c>
      <c r="J494" s="15" t="s">
        <v>188</v>
      </c>
    </row>
    <row r="495" spans="3:10" ht="18">
      <c r="C495" s="11"/>
      <c r="D495" s="31"/>
      <c r="E495" s="292"/>
      <c r="F495" s="31" t="s">
        <v>141</v>
      </c>
      <c r="G495" s="12" t="s">
        <v>9</v>
      </c>
      <c r="H495" s="76">
        <f t="shared" si="0"/>
        <v>0.005009142857142856</v>
      </c>
      <c r="I495" s="13">
        <f>IF($C$12=2,IF($D$13=3,IF($E$13=4,IF($F$18=1,0,IF($F$18&lt;6,0,IF($F$18=9,0,'Input-Output'!$E$16*0.001102*Calculations!H495*0.4536))),0),0),0)</f>
        <v>0</v>
      </c>
      <c r="J495" s="15" t="s">
        <v>188</v>
      </c>
    </row>
    <row r="496" spans="3:10" ht="15">
      <c r="C496" s="11"/>
      <c r="D496" s="31"/>
      <c r="E496" s="40"/>
      <c r="F496" s="40" t="s">
        <v>49</v>
      </c>
      <c r="G496" s="41" t="s">
        <v>50</v>
      </c>
      <c r="H496" s="84">
        <f t="shared" si="0"/>
        <v>0.018324</v>
      </c>
      <c r="I496" s="85">
        <f>IF($C$12=2,IF($D$13=3,IF($E$13=4,IF($F$18=1,0,IF($F$18&lt;6,0,IF($F$18=9,0,'Input-Output'!$E$16*0.001102*Calculations!H496*0.4536))),0),0),0)</f>
        <v>0</v>
      </c>
      <c r="J496" s="43" t="s">
        <v>188</v>
      </c>
    </row>
    <row r="497" spans="3:10" ht="15.75" customHeight="1">
      <c r="C497" s="11"/>
      <c r="D497" s="31"/>
      <c r="E497" s="291" t="s">
        <v>249</v>
      </c>
      <c r="F497" s="31" t="s">
        <v>18</v>
      </c>
      <c r="G497" s="12" t="s">
        <v>25</v>
      </c>
      <c r="H497" s="13">
        <f>AVERAGE(H472,H487)</f>
        <v>0.8699999999999999</v>
      </c>
      <c r="I497" s="87">
        <f>IF($C$12=2,IF($D$13=3,IF($E$13=4,IF($F$18=9,'Input-Output'!$E$16*0.001102*Calculations!H497*0.4536,0),0),0),0)</f>
        <v>0</v>
      </c>
      <c r="J497" s="15" t="s">
        <v>188</v>
      </c>
    </row>
    <row r="498" spans="3:10" ht="15">
      <c r="C498" s="11"/>
      <c r="D498" s="31"/>
      <c r="E498" s="292"/>
      <c r="F498" s="31" t="s">
        <v>19</v>
      </c>
      <c r="G498" s="12" t="s">
        <v>20</v>
      </c>
      <c r="H498" s="13">
        <f>AVERAGE(H473,H488)</f>
        <v>0.6650847457627118</v>
      </c>
      <c r="I498" s="13">
        <f>IF($C$12=2,IF($D$13=3,IF($E$13=4,IF($F$18=9,'Input-Output'!$E$16*0.001102*Calculations!H498*0.4536,0),0),0),0)</f>
        <v>0</v>
      </c>
      <c r="J498" s="15" t="s">
        <v>188</v>
      </c>
    </row>
    <row r="499" spans="3:10" ht="15">
      <c r="C499" s="11"/>
      <c r="D499" s="31"/>
      <c r="E499" s="292"/>
      <c r="F499" s="31" t="s">
        <v>21</v>
      </c>
      <c r="G499" s="12" t="s">
        <v>22</v>
      </c>
      <c r="H499" s="13">
        <f>AVERAGE(H474,H489)</f>
        <v>304.14179104477614</v>
      </c>
      <c r="I499" s="13">
        <f>IF($C$12=2,IF($D$13=3,IF($E$13=4,IF($F$18=9,'Input-Output'!$E$16*0.001102*Calculations!H499*0.4536,0),0),0),0)</f>
        <v>0</v>
      </c>
      <c r="J499" s="15" t="s">
        <v>188</v>
      </c>
    </row>
    <row r="500" spans="3:10" ht="18">
      <c r="C500" s="11"/>
      <c r="D500" s="31"/>
      <c r="E500" s="292"/>
      <c r="F500" s="31" t="s">
        <v>141</v>
      </c>
      <c r="G500" s="12" t="s">
        <v>9</v>
      </c>
      <c r="H500" s="13">
        <f>AVERAGE(H475,H490)</f>
        <v>0.11314285714285713</v>
      </c>
      <c r="I500" s="13">
        <f>IF($C$12=2,IF($D$13=3,IF($E$13=4,IF($F$18=9,'Input-Output'!$E$16*0.001102*Calculations!H500*0.4536,0),0),0),0)</f>
        <v>0</v>
      </c>
      <c r="J500" s="15" t="s">
        <v>188</v>
      </c>
    </row>
    <row r="501" spans="3:10" ht="15">
      <c r="C501" s="11"/>
      <c r="D501" s="31"/>
      <c r="E501" s="40"/>
      <c r="F501" s="40" t="s">
        <v>49</v>
      </c>
      <c r="G501" s="41" t="s">
        <v>50</v>
      </c>
      <c r="H501" s="84">
        <f>AVERAGE(H476,H491)</f>
        <v>0.04090909090909091</v>
      </c>
      <c r="I501" s="85">
        <f>IF($C$12=2,IF($D$13=3,IF($E$13=4,IF($F$18=9,'Input-Output'!$E$16*0.001102*Calculations!H501*0.4536,0),0),0),0)</f>
        <v>0</v>
      </c>
      <c r="J501" s="43" t="s">
        <v>188</v>
      </c>
    </row>
    <row r="502" spans="3:10" ht="15">
      <c r="C502" s="86" t="s">
        <v>17</v>
      </c>
      <c r="D502" s="44" t="s">
        <v>14</v>
      </c>
      <c r="E502" s="31" t="s">
        <v>7</v>
      </c>
      <c r="F502" s="31" t="s">
        <v>8</v>
      </c>
      <c r="G502" s="12" t="s">
        <v>9</v>
      </c>
      <c r="H502" s="14">
        <v>0.748</v>
      </c>
      <c r="I502" s="89">
        <f>IF($C$12=2,0,IF($E$13=3,IF($F$18=2,'Input-Output'!$E$16*0.001102*Calculations!H502*0.4536,0),0))</f>
        <v>0</v>
      </c>
      <c r="J502" s="15" t="s">
        <v>188</v>
      </c>
    </row>
    <row r="503" spans="3:10" ht="15">
      <c r="C503" s="11"/>
      <c r="D503" s="31"/>
      <c r="E503" s="31"/>
      <c r="F503" s="31" t="s">
        <v>10</v>
      </c>
      <c r="G503" s="12" t="s">
        <v>9</v>
      </c>
      <c r="H503" s="14">
        <v>0.09</v>
      </c>
      <c r="I503" s="89">
        <f>IF($C$12=2,0,IF($E$13=3,IF($F$18=2,'Input-Output'!$E$16*0.001102*Calculations!H503*0.4536,0),0))</f>
        <v>0</v>
      </c>
      <c r="J503" s="15" t="s">
        <v>188</v>
      </c>
    </row>
    <row r="504" spans="3:10" ht="18">
      <c r="C504" s="11"/>
      <c r="D504" s="31"/>
      <c r="E504" s="31"/>
      <c r="F504" s="31" t="s">
        <v>132</v>
      </c>
      <c r="G504" s="12" t="s">
        <v>9</v>
      </c>
      <c r="H504" s="14">
        <f>H503*0.79</f>
        <v>0.0711</v>
      </c>
      <c r="I504" s="89">
        <f>IF($C$12=2,0,IF($E$13=3,IF($F$18=2,'Input-Output'!$E$16*0.001102*Calculations!H504*0.4536,0),0))</f>
        <v>0</v>
      </c>
      <c r="J504" s="15" t="s">
        <v>188</v>
      </c>
    </row>
    <row r="505" spans="3:10" ht="15">
      <c r="C505" s="11"/>
      <c r="D505" s="31"/>
      <c r="E505" s="31"/>
      <c r="F505" s="31" t="s">
        <v>49</v>
      </c>
      <c r="G505" s="12" t="s">
        <v>50</v>
      </c>
      <c r="H505" s="14">
        <v>0.0024</v>
      </c>
      <c r="I505" s="89">
        <f>IF($C$12=2,0,IF($E$13=3,IF($F$18=2,'Input-Output'!$E$16*0.001102*Calculations!H505*0.4536,0),0))</f>
        <v>0</v>
      </c>
      <c r="J505" s="15" t="s">
        <v>188</v>
      </c>
    </row>
    <row r="506" spans="3:10" ht="15">
      <c r="C506" s="11"/>
      <c r="D506" s="31"/>
      <c r="E506" s="31"/>
      <c r="F506" s="31" t="s">
        <v>27</v>
      </c>
      <c r="G506" s="12" t="s">
        <v>9</v>
      </c>
      <c r="H506" s="14">
        <v>0.42</v>
      </c>
      <c r="I506" s="89">
        <f>IF($C$12=2,0,IF($E$13=3,IF($F$18=2,'Input-Output'!$E$16*0.001102*Calculations!H506*0.4536,0),0))</f>
        <v>0</v>
      </c>
      <c r="J506" s="15" t="s">
        <v>188</v>
      </c>
    </row>
    <row r="507" spans="3:10" ht="15">
      <c r="C507" s="11"/>
      <c r="D507" s="31"/>
      <c r="E507" s="40"/>
      <c r="F507" s="40" t="s">
        <v>28</v>
      </c>
      <c r="G507" s="41" t="s">
        <v>9</v>
      </c>
      <c r="H507" s="42">
        <v>0.51</v>
      </c>
      <c r="I507" s="85">
        <f>IF($C$12=2,0,IF($E$13=3,IF($F$18=2,'Input-Output'!$E$16*0.001102*Calculations!H507*0.4536,0),0))</f>
        <v>0</v>
      </c>
      <c r="J507" s="43" t="s">
        <v>188</v>
      </c>
    </row>
    <row r="508" spans="3:10" ht="18">
      <c r="C508" s="11"/>
      <c r="D508" s="31"/>
      <c r="E508" s="31" t="s">
        <v>203</v>
      </c>
      <c r="F508" s="31" t="s">
        <v>204</v>
      </c>
      <c r="G508" s="12" t="s">
        <v>9</v>
      </c>
      <c r="H508" s="76">
        <f>0.748*5.58/6.1</f>
        <v>0.6842360655737706</v>
      </c>
      <c r="I508" s="89">
        <f>IF($C$12=2,0,IF($E$13=3,IF($F$18=3,'Input-Output'!$E$16*0.001102*Calculations!H508*0.4536,0),0))</f>
        <v>0</v>
      </c>
      <c r="J508" s="15" t="s">
        <v>188</v>
      </c>
    </row>
    <row r="509" spans="3:10" ht="18">
      <c r="C509" s="11"/>
      <c r="D509" s="31"/>
      <c r="E509" s="31"/>
      <c r="F509" s="31" t="s">
        <v>133</v>
      </c>
      <c r="G509" s="12" t="s">
        <v>9</v>
      </c>
      <c r="H509" s="76">
        <f>H508*0.61</f>
        <v>0.41738400000000003</v>
      </c>
      <c r="I509" s="89">
        <f>IF($C$12=2,0,IF($E$13=3,IF($F$18=3,'Input-Output'!$E$16*0.001102*Calculations!H509*0.4536,0),0))</f>
        <v>0</v>
      </c>
      <c r="J509" s="15" t="s">
        <v>188</v>
      </c>
    </row>
    <row r="510" spans="3:10" ht="18">
      <c r="C510" s="11"/>
      <c r="D510" s="31"/>
      <c r="E510" s="31"/>
      <c r="F510" s="31" t="s">
        <v>132</v>
      </c>
      <c r="G510" s="12" t="s">
        <v>9</v>
      </c>
      <c r="H510" s="76">
        <f>H509*0.79</f>
        <v>0.32973336000000003</v>
      </c>
      <c r="I510" s="89">
        <f>IF($C$12=2,0,IF($E$13=3,IF($F$18=3,'Input-Output'!$E$16*0.001102*Calculations!H510*0.4536,0),0))</f>
        <v>0</v>
      </c>
      <c r="J510" s="15" t="s">
        <v>188</v>
      </c>
    </row>
    <row r="511" spans="3:10" ht="15">
      <c r="C511" s="11"/>
      <c r="D511" s="31"/>
      <c r="E511" s="31"/>
      <c r="F511" s="31" t="s">
        <v>49</v>
      </c>
      <c r="G511" s="12" t="s">
        <v>50</v>
      </c>
      <c r="H511" s="14">
        <v>0.0024</v>
      </c>
      <c r="I511" s="89">
        <f>IF($C$12=2,0,IF($E$13=3,IF($F$18=3,'Input-Output'!$E$16*0.001102*Calculations!H511*0.4536,0),0))</f>
        <v>0</v>
      </c>
      <c r="J511" s="15" t="s">
        <v>188</v>
      </c>
    </row>
    <row r="512" spans="3:10" ht="15">
      <c r="C512" s="11"/>
      <c r="D512" s="31"/>
      <c r="E512" s="31"/>
      <c r="F512" s="31" t="s">
        <v>27</v>
      </c>
      <c r="G512" s="12" t="s">
        <v>9</v>
      </c>
      <c r="H512" s="14">
        <v>0.42</v>
      </c>
      <c r="I512" s="89">
        <f>IF($C$12=2,0,IF($E$13=3,IF($F$18=3,'Input-Output'!$E$16*0.001102*Calculations!H512*0.4536,0),0))</f>
        <v>0</v>
      </c>
      <c r="J512" s="15" t="s">
        <v>188</v>
      </c>
    </row>
    <row r="513" spans="3:10" ht="15">
      <c r="C513" s="11"/>
      <c r="D513" s="31"/>
      <c r="E513" s="40"/>
      <c r="F513" s="40" t="s">
        <v>28</v>
      </c>
      <c r="G513" s="41" t="s">
        <v>9</v>
      </c>
      <c r="H513" s="42">
        <v>0.51</v>
      </c>
      <c r="I513" s="85">
        <f>IF($C$12=2,0,IF($E$13=3,IF($F$18=3,'Input-Output'!$E$16*0.001102*Calculations!H513*0.4536,0),0))</f>
        <v>0</v>
      </c>
      <c r="J513" s="43" t="s">
        <v>188</v>
      </c>
    </row>
    <row r="514" spans="3:10" ht="18">
      <c r="C514" s="11"/>
      <c r="D514" s="31"/>
      <c r="E514" s="31" t="s">
        <v>208</v>
      </c>
      <c r="F514" s="31" t="s">
        <v>209</v>
      </c>
      <c r="G514" s="12" t="s">
        <v>9</v>
      </c>
      <c r="H514" s="76">
        <f>0.748*1.38/6.1</f>
        <v>0.16921967213114752</v>
      </c>
      <c r="I514" s="89">
        <f>IF($C$12=2,0,IF($E$13=3,IF($F$18=4,'Input-Output'!$E$16*0.001102*Calculations!H514*0.4536,0),0))</f>
        <v>0</v>
      </c>
      <c r="J514" s="15" t="s">
        <v>188</v>
      </c>
    </row>
    <row r="515" spans="3:10" ht="18">
      <c r="C515" s="11"/>
      <c r="D515" s="31"/>
      <c r="E515" s="31"/>
      <c r="F515" s="31" t="s">
        <v>133</v>
      </c>
      <c r="G515" s="12" t="s">
        <v>9</v>
      </c>
      <c r="H515" s="76">
        <f>H514*0.61</f>
        <v>0.10322399999999998</v>
      </c>
      <c r="I515" s="89">
        <f>IF($C$12=2,0,IF($E$13=3,IF($F$18=4,'Input-Output'!$E$16*0.001102*Calculations!H515*0.4536,0),0))</f>
        <v>0</v>
      </c>
      <c r="J515" s="15" t="s">
        <v>188</v>
      </c>
    </row>
    <row r="516" spans="3:10" ht="18">
      <c r="C516" s="11"/>
      <c r="D516" s="31"/>
      <c r="E516" s="31"/>
      <c r="F516" s="31" t="s">
        <v>132</v>
      </c>
      <c r="G516" s="12" t="s">
        <v>9</v>
      </c>
      <c r="H516" s="76">
        <f>H515*0.79</f>
        <v>0.08154695999999999</v>
      </c>
      <c r="I516" s="89">
        <f>IF($C$12=2,0,IF($E$13=3,IF($F$18=4,'Input-Output'!$E$16*0.001102*Calculations!H516*0.4536,0),0))</f>
        <v>0</v>
      </c>
      <c r="J516" s="15" t="s">
        <v>188</v>
      </c>
    </row>
    <row r="517" spans="3:10" ht="15">
      <c r="C517" s="11"/>
      <c r="D517" s="31"/>
      <c r="E517" s="31"/>
      <c r="F517" s="31" t="s">
        <v>49</v>
      </c>
      <c r="G517" s="12" t="s">
        <v>50</v>
      </c>
      <c r="H517" s="14">
        <v>0.0024</v>
      </c>
      <c r="I517" s="89">
        <f>IF($C$12=2,0,IF($E$13=3,IF($F$18=4,'Input-Output'!$E$16*0.001102*Calculations!H517*0.4536,0),0))</f>
        <v>0</v>
      </c>
      <c r="J517" s="15" t="s">
        <v>188</v>
      </c>
    </row>
    <row r="518" spans="3:10" ht="15">
      <c r="C518" s="11"/>
      <c r="D518" s="31"/>
      <c r="E518" s="31"/>
      <c r="F518" s="31" t="s">
        <v>27</v>
      </c>
      <c r="G518" s="12" t="s">
        <v>9</v>
      </c>
      <c r="H518" s="14">
        <v>0.42</v>
      </c>
      <c r="I518" s="89">
        <f>IF($C$12=2,0,IF($E$13=3,IF($F$18=4,'Input-Output'!$E$16*0.001102*Calculations!H518*0.4536,0),0))</f>
        <v>0</v>
      </c>
      <c r="J518" s="15" t="s">
        <v>188</v>
      </c>
    </row>
    <row r="519" spans="3:10" ht="15">
      <c r="C519" s="11"/>
      <c r="D519" s="31"/>
      <c r="E519" s="40"/>
      <c r="F519" s="40" t="s">
        <v>28</v>
      </c>
      <c r="G519" s="41" t="s">
        <v>9</v>
      </c>
      <c r="H519" s="42">
        <v>0.51</v>
      </c>
      <c r="I519" s="85">
        <f>IF($C$12=2,0,IF($E$13=3,IF($F$18=4,'Input-Output'!$E$16*0.001102*Calculations!H519*0.4536,0),0))</f>
        <v>0</v>
      </c>
      <c r="J519" s="43" t="s">
        <v>188</v>
      </c>
    </row>
    <row r="520" spans="3:10" ht="33.75">
      <c r="C520" s="11"/>
      <c r="D520" s="31"/>
      <c r="E520" s="219" t="s">
        <v>211</v>
      </c>
      <c r="F520" s="31" t="s">
        <v>212</v>
      </c>
      <c r="G520" s="12" t="s">
        <v>9</v>
      </c>
      <c r="H520" s="76">
        <f>0.748*0.63/6.1</f>
        <v>0.07725245901639345</v>
      </c>
      <c r="I520" s="89">
        <f>IF($C$12=2,0,IF($E$13=3,IF($F$18=5,'Input-Output'!$E$16*0.001102*Calculations!H520*0.4536,0),0))</f>
        <v>0</v>
      </c>
      <c r="J520" s="15" t="s">
        <v>188</v>
      </c>
    </row>
    <row r="521" spans="3:10" ht="18">
      <c r="C521" s="11"/>
      <c r="D521" s="31"/>
      <c r="E521" s="31"/>
      <c r="F521" s="31" t="s">
        <v>133</v>
      </c>
      <c r="G521" s="12" t="s">
        <v>9</v>
      </c>
      <c r="H521" s="76">
        <f>H520*0.61</f>
        <v>0.047124000000000006</v>
      </c>
      <c r="I521" s="89">
        <f>IF($C$12=2,0,IF($E$13=3,IF($F$18=5,'Input-Output'!$E$16*0.001102*Calculations!H521*0.4536,0),0))</f>
        <v>0</v>
      </c>
      <c r="J521" s="15" t="s">
        <v>188</v>
      </c>
    </row>
    <row r="522" spans="3:10" ht="18">
      <c r="C522" s="11"/>
      <c r="D522" s="31"/>
      <c r="E522" s="31"/>
      <c r="F522" s="31" t="s">
        <v>132</v>
      </c>
      <c r="G522" s="12" t="s">
        <v>9</v>
      </c>
      <c r="H522" s="76">
        <f>H521*0.79</f>
        <v>0.037227960000000004</v>
      </c>
      <c r="I522" s="89">
        <f>IF($C$12=2,0,IF($E$13=3,IF($F$18=5,'Input-Output'!$E$16*0.001102*Calculations!H522*0.4536,0),0))</f>
        <v>0</v>
      </c>
      <c r="J522" s="15" t="s">
        <v>188</v>
      </c>
    </row>
    <row r="523" spans="3:10" ht="15">
      <c r="C523" s="11"/>
      <c r="D523" s="31"/>
      <c r="E523" s="31"/>
      <c r="F523" s="31" t="s">
        <v>49</v>
      </c>
      <c r="G523" s="12" t="s">
        <v>50</v>
      </c>
      <c r="H523" s="14">
        <v>0.0024</v>
      </c>
      <c r="I523" s="89">
        <f>IF($C$12=2,0,IF($E$13=3,IF($F$18=5,'Input-Output'!$E$16*0.001102*Calculations!H523*0.4536,0),0))</f>
        <v>0</v>
      </c>
      <c r="J523" s="15" t="s">
        <v>188</v>
      </c>
    </row>
    <row r="524" spans="3:10" ht="15">
      <c r="C524" s="11"/>
      <c r="D524" s="31"/>
      <c r="E524" s="31"/>
      <c r="F524" s="31" t="s">
        <v>27</v>
      </c>
      <c r="G524" s="12" t="s">
        <v>9</v>
      </c>
      <c r="H524" s="14">
        <v>0.42</v>
      </c>
      <c r="I524" s="89">
        <f>IF($C$12=2,0,IF($E$13=3,IF($F$18=5,'Input-Output'!$E$16*0.001102*Calculations!H524*0.4536,0),0))</f>
        <v>0</v>
      </c>
      <c r="J524" s="15" t="s">
        <v>188</v>
      </c>
    </row>
    <row r="525" spans="3:10" ht="15">
      <c r="C525" s="11"/>
      <c r="D525" s="31"/>
      <c r="E525" s="40"/>
      <c r="F525" s="40" t="s">
        <v>28</v>
      </c>
      <c r="G525" s="41" t="s">
        <v>9</v>
      </c>
      <c r="H525" s="42">
        <v>0.51</v>
      </c>
      <c r="I525" s="85">
        <f>IF($C$12=2,0,IF($E$13=3,IF($F$18=5,'Input-Output'!$E$16*0.001102*Calculations!H525*0.4536,0),0))</f>
        <v>0</v>
      </c>
      <c r="J525" s="43" t="s">
        <v>188</v>
      </c>
    </row>
    <row r="526" spans="3:10" ht="18">
      <c r="C526" s="11"/>
      <c r="D526" s="31"/>
      <c r="E526" s="31" t="s">
        <v>214</v>
      </c>
      <c r="F526" s="31" t="s">
        <v>49</v>
      </c>
      <c r="G526" s="12" t="s">
        <v>50</v>
      </c>
      <c r="H526" s="77">
        <f>0.0024*0.154</f>
        <v>0.0003696</v>
      </c>
      <c r="I526" s="89">
        <f>IF($C$12=2,0,IF($E$13=3,IF($F$18=6,'Input-Output'!$E$16*0.001102*Calculations!H526*0.4536,0),0))</f>
        <v>0</v>
      </c>
      <c r="J526" s="15" t="s">
        <v>188</v>
      </c>
    </row>
    <row r="527" spans="3:10" ht="15">
      <c r="C527" s="11"/>
      <c r="D527" s="31"/>
      <c r="E527" s="31"/>
      <c r="F527" s="31" t="s">
        <v>27</v>
      </c>
      <c r="G527" s="12" t="s">
        <v>9</v>
      </c>
      <c r="H527" s="76">
        <f>0.42*0.037</f>
        <v>0.015539999999999998</v>
      </c>
      <c r="I527" s="89">
        <f>IF($C$12=2,0,IF($E$13=3,IF($F$18=6,'Input-Output'!$E$16*0.001102*Calculations!H527*0.4536,0),0))</f>
        <v>0</v>
      </c>
      <c r="J527" s="15" t="s">
        <v>188</v>
      </c>
    </row>
    <row r="528" spans="3:10" ht="15">
      <c r="C528" s="11"/>
      <c r="D528" s="31"/>
      <c r="E528" s="40"/>
      <c r="F528" s="40" t="s">
        <v>28</v>
      </c>
      <c r="G528" s="41" t="s">
        <v>9</v>
      </c>
      <c r="H528" s="84">
        <f>0.51*0.04</f>
        <v>0.0204</v>
      </c>
      <c r="I528" s="85">
        <f>IF($C$12=2,0,IF($E$13=3,IF($F$18=6,'Input-Output'!$E$16*0.001102*Calculations!H528*0.4536,0),0))</f>
        <v>0</v>
      </c>
      <c r="J528" s="43" t="s">
        <v>188</v>
      </c>
    </row>
    <row r="529" spans="3:10" ht="18">
      <c r="C529" s="11"/>
      <c r="D529" s="31"/>
      <c r="E529" s="31" t="s">
        <v>217</v>
      </c>
      <c r="F529" s="31" t="s">
        <v>216</v>
      </c>
      <c r="G529" s="12" t="s">
        <v>9</v>
      </c>
      <c r="H529" s="76">
        <f>0.748*0.51/6.1</f>
        <v>0.06253770491803279</v>
      </c>
      <c r="I529" s="87">
        <f>IF($C$12=2,0,IF($E$13=3,IF($F$18=8,'Input-Output'!$E$16*0.001102*Calculations!H529*0.4536,0),0))</f>
        <v>0</v>
      </c>
      <c r="J529" s="15" t="s">
        <v>188</v>
      </c>
    </row>
    <row r="530" spans="3:10" ht="18">
      <c r="C530" s="11"/>
      <c r="D530" s="31"/>
      <c r="E530" s="31"/>
      <c r="F530" s="31" t="s">
        <v>133</v>
      </c>
      <c r="G530" s="12" t="s">
        <v>9</v>
      </c>
      <c r="H530" s="76">
        <f>H529*0.61</f>
        <v>0.038148</v>
      </c>
      <c r="I530" s="13">
        <f>IF($C$12=2,0,IF($E$13=3,IF($F$18=8,'Input-Output'!$E$16*0.001102*Calculations!H530*0.4536,0),0))</f>
        <v>0</v>
      </c>
      <c r="J530" s="15" t="s">
        <v>188</v>
      </c>
    </row>
    <row r="531" spans="3:10" ht="18">
      <c r="C531" s="11"/>
      <c r="D531" s="31"/>
      <c r="E531" s="31"/>
      <c r="F531" s="31" t="s">
        <v>132</v>
      </c>
      <c r="G531" s="12" t="s">
        <v>9</v>
      </c>
      <c r="H531" s="76">
        <f>H530*0.79</f>
        <v>0.03013692</v>
      </c>
      <c r="I531" s="13">
        <f>IF($C$12=2,0,IF($E$13=3,IF($F$18=8,'Input-Output'!$E$16*0.001102*Calculations!H531*0.4536,0),0))</f>
        <v>0</v>
      </c>
      <c r="J531" s="15" t="s">
        <v>188</v>
      </c>
    </row>
    <row r="532" spans="3:10" ht="15">
      <c r="C532" s="11"/>
      <c r="D532" s="31"/>
      <c r="E532" s="31"/>
      <c r="F532" s="31" t="s">
        <v>49</v>
      </c>
      <c r="G532" s="12" t="s">
        <v>50</v>
      </c>
      <c r="H532" s="77">
        <f>0.0024*0.154</f>
        <v>0.0003696</v>
      </c>
      <c r="I532" s="13">
        <f>IF($C$12=2,0,IF($E$13=3,IF($F$18=8,'Input-Output'!$E$16*0.001102*Calculations!H532*0.4536,0),0))</f>
        <v>0</v>
      </c>
      <c r="J532" s="15" t="s">
        <v>188</v>
      </c>
    </row>
    <row r="533" spans="3:10" ht="15">
      <c r="C533" s="11"/>
      <c r="D533" s="31"/>
      <c r="E533" s="31"/>
      <c r="F533" s="31" t="s">
        <v>27</v>
      </c>
      <c r="G533" s="12" t="s">
        <v>9</v>
      </c>
      <c r="H533" s="76">
        <f>0.42*0.037</f>
        <v>0.015539999999999998</v>
      </c>
      <c r="I533" s="13">
        <f>IF($C$12=2,0,IF($E$13=3,IF($F$18=8,'Input-Output'!$E$16*0.001102*Calculations!H533*0.4536,0),0))</f>
        <v>0</v>
      </c>
      <c r="J533" s="15" t="s">
        <v>188</v>
      </c>
    </row>
    <row r="534" spans="3:10" ht="15">
      <c r="C534" s="11"/>
      <c r="D534" s="31"/>
      <c r="E534" s="40"/>
      <c r="F534" s="40" t="s">
        <v>28</v>
      </c>
      <c r="G534" s="41" t="s">
        <v>9</v>
      </c>
      <c r="H534" s="84">
        <f>0.51*0.04</f>
        <v>0.0204</v>
      </c>
      <c r="I534" s="85">
        <f>IF($C$12=2,0,IF($E$13=3,IF($F$18=8,'Input-Output'!$E$16*0.001102*Calculations!H534*0.4536,0),0))</f>
        <v>0</v>
      </c>
      <c r="J534" s="43" t="s">
        <v>188</v>
      </c>
    </row>
    <row r="535" spans="3:10" ht="18">
      <c r="C535" s="11"/>
      <c r="D535" s="31"/>
      <c r="E535" s="31" t="s">
        <v>218</v>
      </c>
      <c r="F535" s="31" t="s">
        <v>219</v>
      </c>
      <c r="G535" s="12" t="s">
        <v>9</v>
      </c>
      <c r="H535" s="76">
        <f>0.748*0.169/6.1</f>
        <v>0.02072327868852459</v>
      </c>
      <c r="I535" s="89">
        <f>IF($C$12=2,0,IF($E$13=3,IF($F$18=7,'Input-Output'!$E$16*0.001102*Calculations!H535*0.4536,0),0))</f>
        <v>0</v>
      </c>
      <c r="J535" s="15" t="s">
        <v>188</v>
      </c>
    </row>
    <row r="536" spans="3:10" ht="18">
      <c r="C536" s="11"/>
      <c r="D536" s="31"/>
      <c r="E536" s="31"/>
      <c r="F536" s="31" t="s">
        <v>133</v>
      </c>
      <c r="G536" s="12" t="s">
        <v>9</v>
      </c>
      <c r="H536" s="76">
        <f>H535*0.61</f>
        <v>0.0126412</v>
      </c>
      <c r="I536" s="89">
        <f>IF($C$12=2,0,IF($E$13=3,IF($F$18=7,'Input-Output'!$E$16*0.001102*Calculations!H536*0.4536,0),0))</f>
        <v>0</v>
      </c>
      <c r="J536" s="15" t="s">
        <v>188</v>
      </c>
    </row>
    <row r="537" spans="3:10" ht="18">
      <c r="C537" s="11"/>
      <c r="D537" s="31"/>
      <c r="E537" s="31"/>
      <c r="F537" s="31" t="s">
        <v>132</v>
      </c>
      <c r="G537" s="12" t="s">
        <v>9</v>
      </c>
      <c r="H537" s="76">
        <f>H536*0.79</f>
        <v>0.009986548</v>
      </c>
      <c r="I537" s="89">
        <f>IF($C$12=2,0,IF($E$13=3,IF($F$18=7,'Input-Output'!$E$16*0.001102*Calculations!H537*0.4536,0),0))</f>
        <v>0</v>
      </c>
      <c r="J537" s="15" t="s">
        <v>188</v>
      </c>
    </row>
    <row r="538" spans="3:10" ht="15">
      <c r="C538" s="11"/>
      <c r="D538" s="31"/>
      <c r="E538" s="31"/>
      <c r="F538" s="31" t="s">
        <v>49</v>
      </c>
      <c r="G538" s="12" t="s">
        <v>50</v>
      </c>
      <c r="H538" s="77">
        <f>0.0024*0.154</f>
        <v>0.0003696</v>
      </c>
      <c r="I538" s="89">
        <f>IF($C$12=2,0,IF($E$13=3,IF($F$18=7,'Input-Output'!$E$16*0.001102*Calculations!H538*0.4536,0),0))</f>
        <v>0</v>
      </c>
      <c r="J538" s="15" t="s">
        <v>188</v>
      </c>
    </row>
    <row r="539" spans="3:10" ht="15">
      <c r="C539" s="11"/>
      <c r="D539" s="31"/>
      <c r="E539" s="31"/>
      <c r="F539" s="31" t="s">
        <v>27</v>
      </c>
      <c r="G539" s="12" t="s">
        <v>9</v>
      </c>
      <c r="H539" s="76">
        <f>0.42*0.037</f>
        <v>0.015539999999999998</v>
      </c>
      <c r="I539" s="89">
        <f>IF($C$12=2,0,IF($E$13=3,IF($F$18=7,'Input-Output'!$E$16*0.001102*Calculations!H539*0.4536,0),0))</f>
        <v>0</v>
      </c>
      <c r="J539" s="15" t="s">
        <v>188</v>
      </c>
    </row>
    <row r="540" spans="3:10" ht="15">
      <c r="C540" s="11"/>
      <c r="D540" s="31"/>
      <c r="E540" s="40"/>
      <c r="F540" s="40" t="s">
        <v>28</v>
      </c>
      <c r="G540" s="41" t="s">
        <v>9</v>
      </c>
      <c r="H540" s="84">
        <f>0.51*0.04</f>
        <v>0.0204</v>
      </c>
      <c r="I540" s="85">
        <f>IF($C$12=2,0,IF($E$13=3,IF($F$18=7,'Input-Output'!$E$16*0.001102*Calculations!H540*0.4536,0),0))</f>
        <v>0</v>
      </c>
      <c r="J540" s="43" t="s">
        <v>188</v>
      </c>
    </row>
    <row r="541" spans="3:10" ht="18">
      <c r="C541" s="11"/>
      <c r="D541" s="31"/>
      <c r="E541" s="31" t="s">
        <v>221</v>
      </c>
      <c r="F541" s="31" t="s">
        <v>222</v>
      </c>
      <c r="G541" s="12" t="s">
        <v>9</v>
      </c>
      <c r="H541" s="76">
        <f>0.748*1.37/6.1</f>
        <v>0.16799344262295085</v>
      </c>
      <c r="I541" s="89">
        <f>IF($C$12=2,0,IF($E$13=3,IF($F$18=9,'Input-Output'!$E$16*0.001102*Calculations!H541*0.4536,0),0))</f>
        <v>0</v>
      </c>
      <c r="J541" s="15" t="s">
        <v>188</v>
      </c>
    </row>
    <row r="542" spans="3:10" ht="18">
      <c r="C542" s="11"/>
      <c r="D542" s="31"/>
      <c r="E542" s="31"/>
      <c r="F542" s="31" t="s">
        <v>133</v>
      </c>
      <c r="G542" s="12" t="s">
        <v>9</v>
      </c>
      <c r="H542" s="76">
        <f>H541*0.61</f>
        <v>0.10247600000000001</v>
      </c>
      <c r="I542" s="89">
        <f>IF($C$12=2,0,IF($E$13=3,IF($F$18=9,'Input-Output'!$E$16*0.001102*Calculations!H542*0.4536,0),0))</f>
        <v>0</v>
      </c>
      <c r="J542" s="15" t="s">
        <v>188</v>
      </c>
    </row>
    <row r="543" spans="3:10" ht="18">
      <c r="C543" s="11"/>
      <c r="D543" s="31"/>
      <c r="E543" s="31"/>
      <c r="F543" s="31" t="s">
        <v>132</v>
      </c>
      <c r="G543" s="12" t="s">
        <v>9</v>
      </c>
      <c r="H543" s="76">
        <f>H542*0.79</f>
        <v>0.08095604</v>
      </c>
      <c r="I543" s="89">
        <f>IF($C$12=2,0,IF($E$13=3,IF($F$18=9,'Input-Output'!$E$16*0.001102*Calculations!H543*0.4536,0),0))</f>
        <v>0</v>
      </c>
      <c r="J543" s="15" t="s">
        <v>188</v>
      </c>
    </row>
    <row r="544" spans="3:10" ht="15">
      <c r="C544" s="11"/>
      <c r="D544" s="31"/>
      <c r="E544" s="31"/>
      <c r="F544" s="31" t="s">
        <v>49</v>
      </c>
      <c r="G544" s="12" t="s">
        <v>50</v>
      </c>
      <c r="H544" s="14">
        <v>0.0024</v>
      </c>
      <c r="I544" s="89">
        <f>IF($C$12=2,0,IF($E$13=3,IF($F$18=9,'Input-Output'!$E$16*0.001102*Calculations!H544*0.4536,0),0))</f>
        <v>0</v>
      </c>
      <c r="J544" s="15" t="s">
        <v>188</v>
      </c>
    </row>
    <row r="545" spans="3:10" ht="15">
      <c r="C545" s="11"/>
      <c r="D545" s="31"/>
      <c r="E545" s="31"/>
      <c r="F545" s="31" t="s">
        <v>27</v>
      </c>
      <c r="G545" s="12" t="s">
        <v>9</v>
      </c>
      <c r="H545" s="14">
        <v>0.42</v>
      </c>
      <c r="I545" s="89">
        <f>IF($C$12=2,0,IF($E$13=3,IF($F$18=9,'Input-Output'!$E$16*0.001102*Calculations!H545*0.4536,0),0))</f>
        <v>0</v>
      </c>
      <c r="J545" s="15" t="s">
        <v>188</v>
      </c>
    </row>
    <row r="546" spans="3:10" ht="15">
      <c r="C546" s="48"/>
      <c r="D546" s="40"/>
      <c r="E546" s="40"/>
      <c r="F546" s="40" t="s">
        <v>28</v>
      </c>
      <c r="G546" s="41" t="s">
        <v>9</v>
      </c>
      <c r="H546" s="42">
        <v>0.51</v>
      </c>
      <c r="I546" s="85">
        <f>IF($C$12=2,0,IF($E$13=3,IF($F$18=9,'Input-Output'!$E$16*0.001102*Calculations!H546*0.4536,0),0))</f>
        <v>0</v>
      </c>
      <c r="J546" s="43" t="s">
        <v>188</v>
      </c>
    </row>
    <row r="547" spans="3:10" ht="18">
      <c r="C547" s="86" t="s">
        <v>17</v>
      </c>
      <c r="D547" s="44" t="s">
        <v>6</v>
      </c>
      <c r="E547" s="31" t="s">
        <v>201</v>
      </c>
      <c r="F547" s="31" t="s">
        <v>8</v>
      </c>
      <c r="G547" s="12" t="s">
        <v>9</v>
      </c>
      <c r="H547" s="76">
        <f>0.748*0.918</f>
        <v>0.686664</v>
      </c>
      <c r="I547" s="13">
        <f>IF($C$12=2,0,IF($E$13=2,IF($F$18=2,'Input-Output'!$E$16*0.001102*Calculations!H547*0.4536,0),0))</f>
        <v>0</v>
      </c>
      <c r="J547" s="15" t="s">
        <v>188</v>
      </c>
    </row>
    <row r="548" spans="3:10" ht="18">
      <c r="C548" s="11"/>
      <c r="D548" s="31"/>
      <c r="E548" s="31"/>
      <c r="F548" s="31" t="s">
        <v>133</v>
      </c>
      <c r="G548" s="12" t="s">
        <v>9</v>
      </c>
      <c r="H548" s="76">
        <f>H547*0.61</f>
        <v>0.41886504</v>
      </c>
      <c r="I548" s="13">
        <f>IF($C$12=2,0,IF($E$13=2,IF($F$18=2,'Input-Output'!$E$16*0.001102*Calculations!H548*0.4536,0),0))</f>
        <v>0</v>
      </c>
      <c r="J548" s="15" t="s">
        <v>188</v>
      </c>
    </row>
    <row r="549" spans="3:10" ht="18">
      <c r="C549" s="11"/>
      <c r="D549" s="31"/>
      <c r="E549" s="31"/>
      <c r="F549" s="31" t="s">
        <v>132</v>
      </c>
      <c r="G549" s="12" t="s">
        <v>9</v>
      </c>
      <c r="H549" s="76">
        <f>H548*0.79</f>
        <v>0.33090338160000005</v>
      </c>
      <c r="I549" s="13">
        <f>IF($C$12=2,0,IF($E$13=2,IF($F$18=2,'Input-Output'!$E$16*0.001102*Calculations!H549*0.4536,0),0))</f>
        <v>0</v>
      </c>
      <c r="J549" s="15" t="s">
        <v>188</v>
      </c>
    </row>
    <row r="550" spans="3:10" ht="15">
      <c r="C550" s="11"/>
      <c r="D550" s="31"/>
      <c r="E550" s="31"/>
      <c r="F550" s="31" t="s">
        <v>49</v>
      </c>
      <c r="G550" s="12" t="s">
        <v>50</v>
      </c>
      <c r="H550" s="75">
        <f>0.0024*0.13/0.11</f>
        <v>0.0028363636363636364</v>
      </c>
      <c r="I550" s="13">
        <f>IF($C$12=2,0,IF($E$13=2,IF($F$18=2,'Input-Output'!$E$16*0.001102*Calculations!H550*0.4536,0),0))</f>
        <v>0</v>
      </c>
      <c r="J550" s="15" t="s">
        <v>188</v>
      </c>
    </row>
    <row r="551" spans="3:10" ht="15">
      <c r="C551" s="11"/>
      <c r="D551" s="31"/>
      <c r="E551" s="31"/>
      <c r="F551" s="31" t="s">
        <v>27</v>
      </c>
      <c r="G551" s="12" t="s">
        <v>9</v>
      </c>
      <c r="H551" s="13">
        <f>0.42*6.7/1.7</f>
        <v>1.6552941176470588</v>
      </c>
      <c r="I551" s="13">
        <f>IF($C$12=2,0,IF($E$13=2,IF($F$18=2,'Input-Output'!$E$16*0.001102*Calculations!H551*0.4536,0),0))</f>
        <v>0</v>
      </c>
      <c r="J551" s="15" t="s">
        <v>188</v>
      </c>
    </row>
    <row r="552" spans="3:10" ht="15">
      <c r="C552" s="11"/>
      <c r="D552" s="31"/>
      <c r="E552" s="40"/>
      <c r="F552" s="40" t="s">
        <v>28</v>
      </c>
      <c r="G552" s="41" t="s">
        <v>9</v>
      </c>
      <c r="H552" s="85">
        <f>0.51*8.1/2.1</f>
        <v>1.967142857142857</v>
      </c>
      <c r="I552" s="13">
        <f>IF($C$12=2,0,IF($E$13=2,IF($F$18=2,'Input-Output'!$E$16*0.001102*Calculations!H552*0.4536,0),0))</f>
        <v>0</v>
      </c>
      <c r="J552" s="43" t="s">
        <v>188</v>
      </c>
    </row>
    <row r="553" spans="3:10" ht="18">
      <c r="C553" s="11"/>
      <c r="D553" s="31"/>
      <c r="E553" s="31" t="s">
        <v>203</v>
      </c>
      <c r="F553" s="31" t="s">
        <v>224</v>
      </c>
      <c r="G553" s="12" t="s">
        <v>9</v>
      </c>
      <c r="H553" s="76">
        <f>0.748*0.918*2.81/5.6</f>
        <v>0.34455818571428576</v>
      </c>
      <c r="I553" s="87">
        <f>IF($C$12=2,0,IF($E$13=2,IF($F$18=3,'Input-Output'!$E$16*0.001102*Calculations!H553*0.4536,0),0))</f>
        <v>0</v>
      </c>
      <c r="J553" s="15" t="s">
        <v>188</v>
      </c>
    </row>
    <row r="554" spans="3:10" ht="18">
      <c r="C554" s="11"/>
      <c r="D554" s="31"/>
      <c r="E554" s="31"/>
      <c r="F554" s="31" t="s">
        <v>133</v>
      </c>
      <c r="G554" s="12" t="s">
        <v>9</v>
      </c>
      <c r="H554" s="76">
        <f>H553*0.61</f>
        <v>0.2101804932857143</v>
      </c>
      <c r="I554" s="13">
        <f>IF($C$12=2,0,IF($E$13=2,IF($F$18=3,'Input-Output'!$E$16*0.001102*Calculations!H554*0.4536,0),0))</f>
        <v>0</v>
      </c>
      <c r="J554" s="15" t="s">
        <v>188</v>
      </c>
    </row>
    <row r="555" spans="3:10" ht="18">
      <c r="C555" s="11"/>
      <c r="D555" s="31"/>
      <c r="E555" s="31"/>
      <c r="F555" s="31" t="s">
        <v>132</v>
      </c>
      <c r="G555" s="12" t="s">
        <v>9</v>
      </c>
      <c r="H555" s="76">
        <f>H554*0.79</f>
        <v>0.1660425896957143</v>
      </c>
      <c r="I555" s="13">
        <f>IF($C$12=2,0,IF($E$13=2,IF($F$18=3,'Input-Output'!$E$16*0.001102*Calculations!H555*0.4536,0),0))</f>
        <v>0</v>
      </c>
      <c r="J555" s="15" t="s">
        <v>188</v>
      </c>
    </row>
    <row r="556" spans="3:10" ht="15">
      <c r="C556" s="11"/>
      <c r="D556" s="31"/>
      <c r="E556" s="31"/>
      <c r="F556" s="31" t="s">
        <v>49</v>
      </c>
      <c r="G556" s="12" t="s">
        <v>50</v>
      </c>
      <c r="H556" s="75">
        <f>0.0024*0.13/0.11</f>
        <v>0.0028363636363636364</v>
      </c>
      <c r="I556" s="13">
        <f>IF($C$12=2,0,IF($E$13=2,IF($F$18=3,'Input-Output'!$E$16*0.001102*Calculations!H556*0.4536,0),0))</f>
        <v>0</v>
      </c>
      <c r="J556" s="15" t="s">
        <v>188</v>
      </c>
    </row>
    <row r="557" spans="3:10" ht="15">
      <c r="C557" s="11"/>
      <c r="D557" s="31"/>
      <c r="E557" s="31"/>
      <c r="F557" s="31" t="s">
        <v>27</v>
      </c>
      <c r="G557" s="12" t="s">
        <v>9</v>
      </c>
      <c r="H557" s="13">
        <f>0.42*6.7/1.7</f>
        <v>1.6552941176470588</v>
      </c>
      <c r="I557" s="13">
        <f>IF($C$12=2,0,IF($E$13=2,IF($F$18=3,'Input-Output'!$E$16*0.001102*Calculations!H557*0.4536,0),0))</f>
        <v>0</v>
      </c>
      <c r="J557" s="15" t="s">
        <v>188</v>
      </c>
    </row>
    <row r="558" spans="3:10" ht="15">
      <c r="C558" s="11"/>
      <c r="D558" s="31"/>
      <c r="E558" s="40"/>
      <c r="F558" s="40" t="s">
        <v>28</v>
      </c>
      <c r="G558" s="41" t="s">
        <v>9</v>
      </c>
      <c r="H558" s="85">
        <f>0.51*8.1/2.1</f>
        <v>1.967142857142857</v>
      </c>
      <c r="I558" s="85">
        <f>IF($C$12=2,0,IF($E$13=2,IF($F$18=3,'Input-Output'!$E$16*0.001102*Calculations!H558*0.4536,0),0))</f>
        <v>0</v>
      </c>
      <c r="J558" s="43" t="s">
        <v>188</v>
      </c>
    </row>
    <row r="559" spans="3:10" ht="18">
      <c r="C559" s="11"/>
      <c r="D559" s="31"/>
      <c r="E559" s="31" t="s">
        <v>208</v>
      </c>
      <c r="F559" s="31" t="s">
        <v>226</v>
      </c>
      <c r="G559" s="12" t="s">
        <v>9</v>
      </c>
      <c r="H559" s="76">
        <f>0.748*0.918*1.04/5.6</f>
        <v>0.1275233142857143</v>
      </c>
      <c r="I559" s="87">
        <f>IF($C$12=2,0,IF($E$13=2,IF($F$18=4,'Input-Output'!$E$16*0.001102*Calculations!H559*0.4536,0),0))</f>
        <v>0</v>
      </c>
      <c r="J559" s="15" t="s">
        <v>188</v>
      </c>
    </row>
    <row r="560" spans="3:10" ht="18">
      <c r="C560" s="11"/>
      <c r="D560" s="31"/>
      <c r="E560" s="31"/>
      <c r="F560" s="31" t="s">
        <v>133</v>
      </c>
      <c r="G560" s="12" t="s">
        <v>9</v>
      </c>
      <c r="H560" s="76">
        <f>H559*0.61</f>
        <v>0.07778922171428573</v>
      </c>
      <c r="I560" s="13">
        <f>IF($C$12=2,0,IF($E$13=2,IF($F$18=4,'Input-Output'!$E$16*0.001102*Calculations!H560*0.4536,0),0))</f>
        <v>0</v>
      </c>
      <c r="J560" s="15" t="s">
        <v>188</v>
      </c>
    </row>
    <row r="561" spans="3:10" ht="18">
      <c r="C561" s="11"/>
      <c r="D561" s="31"/>
      <c r="E561" s="31"/>
      <c r="F561" s="31" t="s">
        <v>132</v>
      </c>
      <c r="G561" s="12" t="s">
        <v>9</v>
      </c>
      <c r="H561" s="76">
        <f>H560*0.79</f>
        <v>0.06145348515428573</v>
      </c>
      <c r="I561" s="13">
        <f>IF($C$12=2,0,IF($E$13=2,IF($F$18=4,'Input-Output'!$E$16*0.001102*Calculations!H561*0.4536,0),0))</f>
        <v>0</v>
      </c>
      <c r="J561" s="15" t="s">
        <v>188</v>
      </c>
    </row>
    <row r="562" spans="3:10" ht="15">
      <c r="C562" s="11"/>
      <c r="D562" s="31"/>
      <c r="E562" s="31"/>
      <c r="F562" s="31" t="s">
        <v>49</v>
      </c>
      <c r="G562" s="12" t="s">
        <v>50</v>
      </c>
      <c r="H562" s="75">
        <f>0.0024*0.13/0.11</f>
        <v>0.0028363636363636364</v>
      </c>
      <c r="I562" s="13">
        <f>IF($C$12=2,0,IF($E$13=2,IF($F$18=4,'Input-Output'!$E$16*0.001102*Calculations!H562*0.4536,0),0))</f>
        <v>0</v>
      </c>
      <c r="J562" s="15" t="s">
        <v>188</v>
      </c>
    </row>
    <row r="563" spans="3:10" ht="15">
      <c r="C563" s="11"/>
      <c r="D563" s="31"/>
      <c r="E563" s="31"/>
      <c r="F563" s="31" t="s">
        <v>27</v>
      </c>
      <c r="G563" s="12" t="s">
        <v>9</v>
      </c>
      <c r="H563" s="13">
        <f>0.42*6.7/1.7</f>
        <v>1.6552941176470588</v>
      </c>
      <c r="I563" s="13">
        <f>IF($C$12=2,0,IF($E$13=2,IF($F$18=4,'Input-Output'!$E$16*0.001102*Calculations!H563*0.4536,0),0))</f>
        <v>0</v>
      </c>
      <c r="J563" s="15" t="s">
        <v>188</v>
      </c>
    </row>
    <row r="564" spans="3:10" ht="15">
      <c r="C564" s="11"/>
      <c r="D564" s="31"/>
      <c r="E564" s="40"/>
      <c r="F564" s="40" t="s">
        <v>28</v>
      </c>
      <c r="G564" s="41" t="s">
        <v>9</v>
      </c>
      <c r="H564" s="85">
        <f>0.51*8.1/2.1</f>
        <v>1.967142857142857</v>
      </c>
      <c r="I564" s="85">
        <f>IF($C$12=2,0,IF($E$13=2,IF($F$18=4,'Input-Output'!$E$16*0.001102*Calculations!H564*0.4536,0),0))</f>
        <v>0</v>
      </c>
      <c r="J564" s="43" t="s">
        <v>188</v>
      </c>
    </row>
    <row r="565" spans="3:10" ht="33.75">
      <c r="C565" s="11"/>
      <c r="D565" s="31"/>
      <c r="E565" s="219" t="s">
        <v>211</v>
      </c>
      <c r="F565" s="31" t="s">
        <v>228</v>
      </c>
      <c r="G565" s="12" t="s">
        <v>9</v>
      </c>
      <c r="H565" s="76">
        <f>0.748*0.918*0.89/5.6</f>
        <v>0.10913052857142858</v>
      </c>
      <c r="I565" s="13">
        <f>IF($C$12=2,0,IF($E$13=2,IF($F$18=5,'Input-Output'!$E$16*0.001102*Calculations!H565*0.4536,0),0))</f>
        <v>0</v>
      </c>
      <c r="J565" s="15" t="s">
        <v>188</v>
      </c>
    </row>
    <row r="566" spans="3:10" ht="18">
      <c r="C566" s="11"/>
      <c r="D566" s="31"/>
      <c r="E566" s="31"/>
      <c r="F566" s="31" t="s">
        <v>133</v>
      </c>
      <c r="G566" s="12" t="s">
        <v>9</v>
      </c>
      <c r="H566" s="76">
        <f>H565*0.61</f>
        <v>0.06656962242857142</v>
      </c>
      <c r="I566" s="13">
        <f>IF($C$12=2,0,IF($E$13=2,IF($F$18=5,'Input-Output'!$E$16*0.001102*Calculations!H566*0.4536,0),0))</f>
        <v>0</v>
      </c>
      <c r="J566" s="15" t="s">
        <v>188</v>
      </c>
    </row>
    <row r="567" spans="3:10" ht="18">
      <c r="C567" s="11"/>
      <c r="D567" s="31"/>
      <c r="E567" s="31"/>
      <c r="F567" s="31" t="s">
        <v>132</v>
      </c>
      <c r="G567" s="12" t="s">
        <v>9</v>
      </c>
      <c r="H567" s="76">
        <f>H566*0.79</f>
        <v>0.05259000171857143</v>
      </c>
      <c r="I567" s="13">
        <f>IF($C$12=2,0,IF($E$13=2,IF($F$18=5,'Input-Output'!$E$16*0.001102*Calculations!H567*0.4536,0),0))</f>
        <v>0</v>
      </c>
      <c r="J567" s="15" t="s">
        <v>188</v>
      </c>
    </row>
    <row r="568" spans="3:10" ht="15">
      <c r="C568" s="11"/>
      <c r="D568" s="31"/>
      <c r="E568" s="31"/>
      <c r="F568" s="31" t="s">
        <v>49</v>
      </c>
      <c r="G568" s="12" t="s">
        <v>50</v>
      </c>
      <c r="H568" s="75">
        <f>0.0024*0.13/0.11</f>
        <v>0.0028363636363636364</v>
      </c>
      <c r="I568" s="13">
        <f>IF($C$12=2,0,IF($E$13=2,IF($F$18=5,'Input-Output'!$E$16*0.001102*Calculations!H568*0.4536,0),0))</f>
        <v>0</v>
      </c>
      <c r="J568" s="15" t="s">
        <v>188</v>
      </c>
    </row>
    <row r="569" spans="3:10" ht="15">
      <c r="C569" s="11"/>
      <c r="D569" s="31"/>
      <c r="E569" s="31"/>
      <c r="F569" s="31" t="s">
        <v>27</v>
      </c>
      <c r="G569" s="12" t="s">
        <v>9</v>
      </c>
      <c r="H569" s="13">
        <f>0.42*6.7/1.7</f>
        <v>1.6552941176470588</v>
      </c>
      <c r="I569" s="13">
        <f>IF($C$12=2,0,IF($E$13=2,IF($F$18=5,'Input-Output'!$E$16*0.001102*Calculations!H569*0.4536,0),0))</f>
        <v>0</v>
      </c>
      <c r="J569" s="15" t="s">
        <v>188</v>
      </c>
    </row>
    <row r="570" spans="3:10" ht="15">
      <c r="C570" s="11"/>
      <c r="D570" s="31"/>
      <c r="E570" s="40"/>
      <c r="F570" s="40" t="s">
        <v>28</v>
      </c>
      <c r="G570" s="41" t="s">
        <v>9</v>
      </c>
      <c r="H570" s="85">
        <f>0.51*8.1/2.1</f>
        <v>1.967142857142857</v>
      </c>
      <c r="I570" s="13">
        <f>IF($C$12=2,0,IF($E$13=2,IF($F$18=5,'Input-Output'!$E$16*0.001102*Calculations!H570*0.4536,0),0))</f>
        <v>0</v>
      </c>
      <c r="J570" s="43" t="s">
        <v>188</v>
      </c>
    </row>
    <row r="571" spans="3:10" ht="18">
      <c r="C571" s="11"/>
      <c r="D571" s="31"/>
      <c r="E571" s="31" t="s">
        <v>230</v>
      </c>
      <c r="F571" s="31" t="s">
        <v>231</v>
      </c>
      <c r="G571" s="12" t="s">
        <v>9</v>
      </c>
      <c r="H571" s="76">
        <f>0.748*0.918*0.4/5.6</f>
        <v>0.049047428571428575</v>
      </c>
      <c r="I571" s="87">
        <f>IF($C$12=2,0,IF($E$13=2,IF($F$18=6,'Input-Output'!$E$16*0.001102*Calculations!H571*0.4536,0),0))</f>
        <v>0</v>
      </c>
      <c r="J571" s="15" t="s">
        <v>188</v>
      </c>
    </row>
    <row r="572" spans="3:10" ht="18">
      <c r="C572" s="11"/>
      <c r="D572" s="31"/>
      <c r="E572" s="31"/>
      <c r="F572" s="31" t="s">
        <v>133</v>
      </c>
      <c r="G572" s="12" t="s">
        <v>9</v>
      </c>
      <c r="H572" s="76">
        <f>H571*0.61</f>
        <v>0.02991893142857143</v>
      </c>
      <c r="I572" s="13">
        <f>IF($C$12=2,0,IF($E$13=2,IF($F$18=6,'Input-Output'!$E$16*0.001102*Calculations!H572*0.4536,0),0))</f>
        <v>0</v>
      </c>
      <c r="J572" s="15" t="s">
        <v>188</v>
      </c>
    </row>
    <row r="573" spans="3:10" ht="18">
      <c r="C573" s="11"/>
      <c r="D573" s="31"/>
      <c r="E573" s="31"/>
      <c r="F573" s="31" t="s">
        <v>132</v>
      </c>
      <c r="G573" s="12" t="s">
        <v>9</v>
      </c>
      <c r="H573" s="76">
        <f>H572*0.79</f>
        <v>0.02363595582857143</v>
      </c>
      <c r="I573" s="13">
        <f>IF($C$12=2,0,IF($E$13=2,IF($F$18=6,'Input-Output'!$E$16*0.001102*Calculations!H573*0.4536,0),0))</f>
        <v>0</v>
      </c>
      <c r="J573" s="15" t="s">
        <v>188</v>
      </c>
    </row>
    <row r="574" spans="3:10" ht="15">
      <c r="C574" s="11"/>
      <c r="D574" s="31"/>
      <c r="E574" s="31"/>
      <c r="F574" s="31" t="s">
        <v>49</v>
      </c>
      <c r="G574" s="12" t="s">
        <v>50</v>
      </c>
      <c r="H574" s="75">
        <f>0.0024*0.13/0.11*0.836</f>
        <v>0.0023712</v>
      </c>
      <c r="I574" s="13">
        <f>IF($C$12=2,0,IF($E$13=2,IF($F$18=6,'Input-Output'!$E$16*0.001102*Calculations!H574*0.4536,0),0))</f>
        <v>0</v>
      </c>
      <c r="J574" s="15" t="s">
        <v>188</v>
      </c>
    </row>
    <row r="575" spans="3:10" ht="15">
      <c r="C575" s="11"/>
      <c r="D575" s="31"/>
      <c r="E575" s="31"/>
      <c r="F575" s="31" t="s">
        <v>27</v>
      </c>
      <c r="G575" s="12" t="s">
        <v>9</v>
      </c>
      <c r="H575" s="13">
        <f>0.42*6.7/1.7*0.088</f>
        <v>0.14566588235294117</v>
      </c>
      <c r="I575" s="13">
        <f>IF($C$12=2,0,IF($E$13=2,IF($F$18=6,'Input-Output'!$E$16*0.001102*Calculations!H575*0.4536,0),0))</f>
        <v>0</v>
      </c>
      <c r="J575" s="15" t="s">
        <v>188</v>
      </c>
    </row>
    <row r="576" spans="3:10" ht="15">
      <c r="C576" s="11"/>
      <c r="D576" s="31"/>
      <c r="E576" s="40"/>
      <c r="F576" s="40" t="s">
        <v>28</v>
      </c>
      <c r="G576" s="41" t="s">
        <v>9</v>
      </c>
      <c r="H576" s="85">
        <f>0.51*8.1/2.1*0.124</f>
        <v>0.24392571428571427</v>
      </c>
      <c r="I576" s="85">
        <f>IF($C$12=2,0,IF($E$13=2,IF($F$18=6,'Input-Output'!$E$16*0.001102*Calculations!H576*0.4536,0),0))</f>
        <v>0</v>
      </c>
      <c r="J576" s="43" t="s">
        <v>188</v>
      </c>
    </row>
    <row r="577" spans="3:10" ht="18">
      <c r="C577" s="11"/>
      <c r="D577" s="31"/>
      <c r="E577" s="31" t="s">
        <v>234</v>
      </c>
      <c r="F577" s="31" t="s">
        <v>235</v>
      </c>
      <c r="G577" s="12" t="s">
        <v>9</v>
      </c>
      <c r="H577" s="76">
        <f>0.748*0.918*0.47/5.6</f>
        <v>0.057630728571428584</v>
      </c>
      <c r="I577" s="87">
        <f>IF($C$12=2,0,IF($E$13=2,IF($F$18=8,'Input-Output'!$E$16*0.001102*Calculations!H577*0.4536,0),0))</f>
        <v>0</v>
      </c>
      <c r="J577" s="15" t="s">
        <v>188</v>
      </c>
    </row>
    <row r="578" spans="3:10" ht="18">
      <c r="C578" s="11"/>
      <c r="D578" s="31"/>
      <c r="E578" s="31"/>
      <c r="F578" s="31" t="s">
        <v>133</v>
      </c>
      <c r="G578" s="12" t="s">
        <v>9</v>
      </c>
      <c r="H578" s="76">
        <f>H577*0.61</f>
        <v>0.03515474442857144</v>
      </c>
      <c r="I578" s="13">
        <f>IF($C$12=2,0,IF($E$13=2,IF($F$18=8,'Input-Output'!$E$16*0.001102*Calculations!H578*0.4536,0),0))</f>
        <v>0</v>
      </c>
      <c r="J578" s="15" t="s">
        <v>188</v>
      </c>
    </row>
    <row r="579" spans="3:10" ht="18">
      <c r="C579" s="11"/>
      <c r="D579" s="31"/>
      <c r="E579" s="31"/>
      <c r="F579" s="31" t="s">
        <v>132</v>
      </c>
      <c r="G579" s="12" t="s">
        <v>9</v>
      </c>
      <c r="H579" s="76">
        <f>H578*0.79</f>
        <v>0.027772248098571435</v>
      </c>
      <c r="I579" s="13">
        <f>IF($C$12=2,0,IF($E$13=2,IF($F$18=8,'Input-Output'!$E$16*0.001102*Calculations!H579*0.4536,0),0))</f>
        <v>0</v>
      </c>
      <c r="J579" s="15" t="s">
        <v>188</v>
      </c>
    </row>
    <row r="580" spans="3:10" ht="15">
      <c r="C580" s="11"/>
      <c r="D580" s="31"/>
      <c r="E580" s="31"/>
      <c r="F580" s="31" t="s">
        <v>49</v>
      </c>
      <c r="G580" s="12" t="s">
        <v>50</v>
      </c>
      <c r="H580" s="75">
        <f>0.0024*0.13/0.11*0.836</f>
        <v>0.0023712</v>
      </c>
      <c r="I580" s="13">
        <f>IF($C$12=2,0,IF($E$13=2,IF($F$18=8,'Input-Output'!$E$16*0.001102*Calculations!H580*0.4536,0),0))</f>
        <v>0</v>
      </c>
      <c r="J580" s="15" t="s">
        <v>188</v>
      </c>
    </row>
    <row r="581" spans="3:10" ht="15">
      <c r="C581" s="11"/>
      <c r="D581" s="31"/>
      <c r="E581" s="31"/>
      <c r="F581" s="31" t="s">
        <v>27</v>
      </c>
      <c r="G581" s="12" t="s">
        <v>9</v>
      </c>
      <c r="H581" s="13">
        <f>0.42*6.7/1.7*0.088</f>
        <v>0.14566588235294117</v>
      </c>
      <c r="I581" s="13">
        <f>IF($C$12=2,0,IF($E$13=2,IF($F$18=8,'Input-Output'!$E$16*0.001102*Calculations!H581*0.4536,0),0))</f>
        <v>0</v>
      </c>
      <c r="J581" s="15" t="s">
        <v>188</v>
      </c>
    </row>
    <row r="582" spans="3:10" ht="15">
      <c r="C582" s="11"/>
      <c r="D582" s="31"/>
      <c r="E582" s="40"/>
      <c r="F582" s="40" t="s">
        <v>28</v>
      </c>
      <c r="G582" s="41" t="s">
        <v>9</v>
      </c>
      <c r="H582" s="85">
        <f>0.51*8.1/2.1*0.124</f>
        <v>0.24392571428571427</v>
      </c>
      <c r="I582" s="85">
        <f>IF($C$12=2,0,IF($E$13=2,IF($F$18=8,'Input-Output'!$E$16*0.001102*Calculations!H582*0.4536,0),0))</f>
        <v>0</v>
      </c>
      <c r="J582" s="43" t="s">
        <v>188</v>
      </c>
    </row>
    <row r="583" spans="3:10" ht="18">
      <c r="C583" s="11"/>
      <c r="D583" s="31"/>
      <c r="E583" s="31" t="s">
        <v>236</v>
      </c>
      <c r="F583" s="31" t="s">
        <v>237</v>
      </c>
      <c r="G583" s="12" t="s">
        <v>9</v>
      </c>
      <c r="H583" s="76">
        <f>0.748*0.918*0.149/5.6</f>
        <v>0.018270167142857147</v>
      </c>
      <c r="I583" s="87">
        <f>IF($C$12=2,0,IF($E$13=2,IF($F$18=7,'Input-Output'!$E$16*0.001102*Calculations!H583*0.4536,0),0))</f>
        <v>0</v>
      </c>
      <c r="J583" s="15" t="s">
        <v>188</v>
      </c>
    </row>
    <row r="584" spans="3:10" ht="18">
      <c r="C584" s="11"/>
      <c r="D584" s="31"/>
      <c r="E584" s="31"/>
      <c r="F584" s="31" t="s">
        <v>133</v>
      </c>
      <c r="G584" s="12" t="s">
        <v>9</v>
      </c>
      <c r="H584" s="76">
        <f>H583*0.61</f>
        <v>0.011144801957142859</v>
      </c>
      <c r="I584" s="13">
        <f>IF($C$12=2,0,IF($E$13=2,IF($F$18=7,'Input-Output'!$E$16*0.001102*Calculations!H584*0.4536,0),0))</f>
        <v>0</v>
      </c>
      <c r="J584" s="15" t="s">
        <v>188</v>
      </c>
    </row>
    <row r="585" spans="3:10" ht="18">
      <c r="C585" s="11"/>
      <c r="D585" s="31"/>
      <c r="E585" s="31"/>
      <c r="F585" s="31" t="s">
        <v>132</v>
      </c>
      <c r="G585" s="12" t="s">
        <v>9</v>
      </c>
      <c r="H585" s="76">
        <f>H584*0.79</f>
        <v>0.008804393546142859</v>
      </c>
      <c r="I585" s="13">
        <f>IF($C$12=2,0,IF($E$13=2,IF($F$18=7,'Input-Output'!$E$16*0.001102*Calculations!H585*0.4536,0),0))</f>
        <v>0</v>
      </c>
      <c r="J585" s="15" t="s">
        <v>188</v>
      </c>
    </row>
    <row r="586" spans="3:10" ht="15">
      <c r="C586" s="11"/>
      <c r="D586" s="31"/>
      <c r="E586" s="31"/>
      <c r="F586" s="31" t="s">
        <v>49</v>
      </c>
      <c r="G586" s="12" t="s">
        <v>50</v>
      </c>
      <c r="H586" s="75">
        <f>0.0024*0.13/0.11*0.836</f>
        <v>0.0023712</v>
      </c>
      <c r="I586" s="13">
        <f>IF($C$12=2,0,IF($E$13=2,IF($F$18=7,'Input-Output'!$E$16*0.001102*Calculations!H586*0.4536,0),0))</f>
        <v>0</v>
      </c>
      <c r="J586" s="15" t="s">
        <v>188</v>
      </c>
    </row>
    <row r="587" spans="3:10" ht="15">
      <c r="C587" s="11"/>
      <c r="D587" s="31"/>
      <c r="E587" s="31"/>
      <c r="F587" s="31" t="s">
        <v>27</v>
      </c>
      <c r="G587" s="12" t="s">
        <v>9</v>
      </c>
      <c r="H587" s="13">
        <f>0.42*6.7/1.7*0.088</f>
        <v>0.14566588235294117</v>
      </c>
      <c r="I587" s="13">
        <f>IF($C$12=2,0,IF($E$13=2,IF($F$18=7,'Input-Output'!$E$16*0.001102*Calculations!H587*0.4536,0),0))</f>
        <v>0</v>
      </c>
      <c r="J587" s="15" t="s">
        <v>188</v>
      </c>
    </row>
    <row r="588" spans="3:10" ht="15">
      <c r="C588" s="11"/>
      <c r="D588" s="31"/>
      <c r="E588" s="40"/>
      <c r="F588" s="40" t="s">
        <v>28</v>
      </c>
      <c r="G588" s="41" t="s">
        <v>9</v>
      </c>
      <c r="H588" s="85">
        <f>0.51*8.1/2.1*0.124</f>
        <v>0.24392571428571427</v>
      </c>
      <c r="I588" s="85">
        <f>IF($C$12=2,0,IF($E$13=2,IF($F$18=7,'Input-Output'!$E$16*0.001102*Calculations!H588*0.4536,0),0))</f>
        <v>0</v>
      </c>
      <c r="J588" s="43" t="s">
        <v>188</v>
      </c>
    </row>
    <row r="589" spans="3:10" ht="18">
      <c r="C589" s="11"/>
      <c r="D589" s="31"/>
      <c r="E589" s="31" t="s">
        <v>221</v>
      </c>
      <c r="F589" s="31" t="s">
        <v>238</v>
      </c>
      <c r="G589" s="12" t="s">
        <v>9</v>
      </c>
      <c r="H589" s="76">
        <f>0.748*0.918*1.26/5.6</f>
        <v>0.1544994</v>
      </c>
      <c r="I589" s="87">
        <f>IF($C$12=2,0,IF($E$13=2,IF($F$18=9,'Input-Output'!$E$16*0.001102*Calculations!H589*0.4536,0),0))</f>
        <v>0</v>
      </c>
      <c r="J589" s="15" t="s">
        <v>188</v>
      </c>
    </row>
    <row r="590" spans="3:10" ht="18">
      <c r="C590" s="11"/>
      <c r="D590" s="31"/>
      <c r="E590" s="31"/>
      <c r="F590" s="31" t="s">
        <v>133</v>
      </c>
      <c r="G590" s="12" t="s">
        <v>9</v>
      </c>
      <c r="H590" s="76">
        <f>H589*0.61</f>
        <v>0.09424463400000001</v>
      </c>
      <c r="I590" s="13">
        <f>IF($C$12=2,0,IF($E$13=2,IF($F$18=9,'Input-Output'!$E$16*0.001102*Calculations!H590*0.4536,0),0))</f>
        <v>0</v>
      </c>
      <c r="J590" s="15" t="s">
        <v>188</v>
      </c>
    </row>
    <row r="591" spans="3:10" ht="18">
      <c r="C591" s="11"/>
      <c r="D591" s="31"/>
      <c r="E591" s="31"/>
      <c r="F591" s="31" t="s">
        <v>132</v>
      </c>
      <c r="G591" s="12" t="s">
        <v>9</v>
      </c>
      <c r="H591" s="76">
        <f>H590*0.79</f>
        <v>0.07445326086000001</v>
      </c>
      <c r="I591" s="13">
        <f>IF($C$12=2,0,IF($E$13=2,IF($F$18=9,'Input-Output'!$E$16*0.001102*Calculations!H591*0.4536,0),0))</f>
        <v>0</v>
      </c>
      <c r="J591" s="15" t="s">
        <v>188</v>
      </c>
    </row>
    <row r="592" spans="3:10" ht="15">
      <c r="C592" s="11"/>
      <c r="D592" s="31"/>
      <c r="E592" s="31"/>
      <c r="F592" s="31" t="s">
        <v>49</v>
      </c>
      <c r="G592" s="12" t="s">
        <v>50</v>
      </c>
      <c r="H592" s="75">
        <f>0.0024*0.13/0.11</f>
        <v>0.0028363636363636364</v>
      </c>
      <c r="I592" s="13">
        <f>IF($C$12=2,0,IF($E$13=2,IF($F$18=9,'Input-Output'!$E$16*0.001102*Calculations!H592*0.4536,0),0))</f>
        <v>0</v>
      </c>
      <c r="J592" s="15" t="s">
        <v>188</v>
      </c>
    </row>
    <row r="593" spans="3:10" ht="15">
      <c r="C593" s="11"/>
      <c r="D593" s="31"/>
      <c r="E593" s="31"/>
      <c r="F593" s="31" t="s">
        <v>27</v>
      </c>
      <c r="G593" s="12" t="s">
        <v>9</v>
      </c>
      <c r="H593" s="13">
        <f>0.42*6.7/1.7</f>
        <v>1.6552941176470588</v>
      </c>
      <c r="I593" s="13">
        <f>IF($C$12=2,0,IF($E$13=2,IF($F$18=9,'Input-Output'!$E$16*0.001102*Calculations!H593*0.4536,0),0))</f>
        <v>0</v>
      </c>
      <c r="J593" s="15" t="s">
        <v>188</v>
      </c>
    </row>
    <row r="594" spans="3:10" ht="15">
      <c r="C594" s="48"/>
      <c r="D594" s="40"/>
      <c r="E594" s="40"/>
      <c r="F594" s="40" t="s">
        <v>28</v>
      </c>
      <c r="G594" s="41" t="s">
        <v>9</v>
      </c>
      <c r="H594" s="85">
        <f>0.51*8.1/2.1</f>
        <v>1.967142857142857</v>
      </c>
      <c r="I594" s="85">
        <f>IF($C$12=2,0,IF($E$13=2,IF($F$18=9,'Input-Output'!$E$16*0.001102*Calculations!H594*0.4536,0),0))</f>
        <v>0</v>
      </c>
      <c r="J594" s="43" t="s">
        <v>188</v>
      </c>
    </row>
    <row r="595" spans="3:10" ht="18">
      <c r="C595" s="86" t="s">
        <v>17</v>
      </c>
      <c r="D595" s="31" t="s">
        <v>247</v>
      </c>
      <c r="E595" s="31" t="s">
        <v>201</v>
      </c>
      <c r="F595" s="31" t="s">
        <v>8</v>
      </c>
      <c r="G595" s="12" t="s">
        <v>9</v>
      </c>
      <c r="H595" s="76">
        <f aca="true" t="shared" si="1" ref="H595:H600">AVERAGE(H502,H547)</f>
        <v>0.7173320000000001</v>
      </c>
      <c r="I595" s="13">
        <f>IF($C$12=2,0,IF($E$13=4,IF($F$18=2,'Input-Output'!$E$16*0.001102*Calculations!H595*0.4536,0),0))</f>
        <v>0</v>
      </c>
      <c r="J595" s="15" t="s">
        <v>188</v>
      </c>
    </row>
    <row r="596" spans="3:10" ht="18">
      <c r="C596" s="11"/>
      <c r="D596" s="31"/>
      <c r="E596" s="31"/>
      <c r="F596" s="31" t="s">
        <v>133</v>
      </c>
      <c r="G596" s="12" t="s">
        <v>9</v>
      </c>
      <c r="H596" s="76">
        <f t="shared" si="1"/>
        <v>0.25443252</v>
      </c>
      <c r="I596" s="13">
        <f>IF($C$12=2,0,IF($E$13=4,IF($F$18=2,'Input-Output'!$E$16*0.001102*Calculations!H596*0.4536,0),0))</f>
        <v>0</v>
      </c>
      <c r="J596" s="15" t="s">
        <v>188</v>
      </c>
    </row>
    <row r="597" spans="3:10" ht="18">
      <c r="C597" s="11"/>
      <c r="D597" s="31"/>
      <c r="E597" s="31"/>
      <c r="F597" s="31" t="s">
        <v>132</v>
      </c>
      <c r="G597" s="12" t="s">
        <v>9</v>
      </c>
      <c r="H597" s="76">
        <f t="shared" si="1"/>
        <v>0.20100169080000002</v>
      </c>
      <c r="I597" s="13">
        <f>IF($C$12=2,0,IF($E$13=4,IF($F$18=2,'Input-Output'!$E$16*0.001102*Calculations!H597*0.4536,0),0))</f>
        <v>0</v>
      </c>
      <c r="J597" s="15" t="s">
        <v>188</v>
      </c>
    </row>
    <row r="598" spans="3:10" ht="15">
      <c r="C598" s="11"/>
      <c r="D598" s="31"/>
      <c r="E598" s="31"/>
      <c r="F598" s="31" t="s">
        <v>49</v>
      </c>
      <c r="G598" s="12" t="s">
        <v>50</v>
      </c>
      <c r="H598" s="76">
        <f t="shared" si="1"/>
        <v>0.002618181818181818</v>
      </c>
      <c r="I598" s="13">
        <f>IF($C$12=2,0,IF($E$13=4,IF($F$18=2,'Input-Output'!$E$16*0.001102*Calculations!H598*0.4536,0),0))</f>
        <v>0</v>
      </c>
      <c r="J598" s="15" t="s">
        <v>188</v>
      </c>
    </row>
    <row r="599" spans="3:10" ht="15">
      <c r="C599" s="11"/>
      <c r="D599" s="31"/>
      <c r="E599" s="31"/>
      <c r="F599" s="31" t="s">
        <v>27</v>
      </c>
      <c r="G599" s="12" t="s">
        <v>9</v>
      </c>
      <c r="H599" s="76">
        <f t="shared" si="1"/>
        <v>1.0376470588235294</v>
      </c>
      <c r="I599" s="13">
        <f>IF($C$12=2,0,IF($E$13=4,IF($F$18=2,'Input-Output'!$E$16*0.001102*Calculations!H599*0.4536,0),0))</f>
        <v>0</v>
      </c>
      <c r="J599" s="15" t="s">
        <v>188</v>
      </c>
    </row>
    <row r="600" spans="3:10" ht="15">
      <c r="C600" s="11"/>
      <c r="D600" s="31"/>
      <c r="E600" s="40"/>
      <c r="F600" s="40" t="s">
        <v>28</v>
      </c>
      <c r="G600" s="41" t="s">
        <v>9</v>
      </c>
      <c r="H600" s="84">
        <f t="shared" si="1"/>
        <v>1.2385714285714284</v>
      </c>
      <c r="I600" s="85">
        <f>IF($C$12=2,0,IF($E$13=4,IF($F$18=2,'Input-Output'!$E$16*0.001102*Calculations!H600*0.4536,0),0))</f>
        <v>0</v>
      </c>
      <c r="J600" s="43" t="s">
        <v>188</v>
      </c>
    </row>
    <row r="601" spans="3:10" ht="18">
      <c r="C601" s="11"/>
      <c r="D601" s="31"/>
      <c r="E601" s="31" t="s">
        <v>203</v>
      </c>
      <c r="F601" s="31" t="s">
        <v>8</v>
      </c>
      <c r="G601" s="12" t="s">
        <v>9</v>
      </c>
      <c r="H601" s="76">
        <f aca="true" t="shared" si="2" ref="H601:H618">AVERAGE(H682,H553)</f>
        <v>0.34455818571428576</v>
      </c>
      <c r="I601" s="13">
        <f>IF($C$12=2,0,IF($E$13=4,IF($F$18=3,'Input-Output'!$E$16*0.001102*Calculations!H601*0.4536,0),0))</f>
        <v>0</v>
      </c>
      <c r="J601" s="15" t="s">
        <v>188</v>
      </c>
    </row>
    <row r="602" spans="3:10" ht="18">
      <c r="C602" s="11"/>
      <c r="D602" s="31"/>
      <c r="E602" s="31"/>
      <c r="F602" s="31" t="s">
        <v>133</v>
      </c>
      <c r="G602" s="12" t="s">
        <v>9</v>
      </c>
      <c r="H602" s="76">
        <f t="shared" si="2"/>
        <v>0.13509024664285715</v>
      </c>
      <c r="I602" s="13">
        <f>IF($C$12=2,0,IF($E$13=4,IF($F$18=3,'Input-Output'!$E$16*0.001102*Calculations!H602*0.4536,0),0))</f>
        <v>0</v>
      </c>
      <c r="J602" s="15" t="s">
        <v>188</v>
      </c>
    </row>
    <row r="603" spans="3:10" ht="18">
      <c r="C603" s="11"/>
      <c r="D603" s="31"/>
      <c r="E603" s="31"/>
      <c r="F603" s="31" t="s">
        <v>132</v>
      </c>
      <c r="G603" s="12" t="s">
        <v>9</v>
      </c>
      <c r="H603" s="76">
        <f t="shared" si="2"/>
        <v>0.10802129484785716</v>
      </c>
      <c r="I603" s="13">
        <f>IF($C$12=2,0,IF($E$13=4,IF($F$18=3,'Input-Output'!$E$16*0.001102*Calculations!H603*0.4536,0),0))</f>
        <v>0</v>
      </c>
      <c r="J603" s="15" t="s">
        <v>188</v>
      </c>
    </row>
    <row r="604" spans="3:10" ht="15">
      <c r="C604" s="11"/>
      <c r="D604" s="31"/>
      <c r="E604" s="31"/>
      <c r="F604" s="31" t="s">
        <v>49</v>
      </c>
      <c r="G604" s="12" t="s">
        <v>50</v>
      </c>
      <c r="H604" s="76">
        <f t="shared" si="2"/>
        <v>0.021168181818181822</v>
      </c>
      <c r="I604" s="13">
        <f>IF($C$12=2,0,IF($E$13=4,IF($F$18=3,'Input-Output'!$E$16*0.001102*Calculations!H604*0.4536,0),0))</f>
        <v>0</v>
      </c>
      <c r="J604" s="15" t="s">
        <v>188</v>
      </c>
    </row>
    <row r="605" spans="3:10" ht="15">
      <c r="C605" s="11"/>
      <c r="D605" s="31"/>
      <c r="E605" s="31"/>
      <c r="F605" s="31" t="s">
        <v>27</v>
      </c>
      <c r="G605" s="12" t="s">
        <v>9</v>
      </c>
      <c r="H605" s="76">
        <f t="shared" si="2"/>
        <v>0.8398970588235294</v>
      </c>
      <c r="I605" s="13">
        <f>IF($C$12=2,0,IF($E$13=4,IF($F$18=3,'Input-Output'!$E$16*0.001102*Calculations!H605*0.4536,0),0))</f>
        <v>0</v>
      </c>
      <c r="J605" s="15" t="s">
        <v>188</v>
      </c>
    </row>
    <row r="606" spans="3:10" ht="15">
      <c r="C606" s="11"/>
      <c r="D606" s="31"/>
      <c r="E606" s="40"/>
      <c r="F606" s="40" t="s">
        <v>28</v>
      </c>
      <c r="G606" s="41" t="s">
        <v>9</v>
      </c>
      <c r="H606" s="84">
        <f t="shared" si="2"/>
        <v>1.0073214285714285</v>
      </c>
      <c r="I606" s="85">
        <f>IF($C$12=2,0,IF($E$13=4,IF($F$18=3,'Input-Output'!$E$16*0.001102*Calculations!H606*0.4536,0),0))</f>
        <v>0</v>
      </c>
      <c r="J606" s="43" t="s">
        <v>188</v>
      </c>
    </row>
    <row r="607" spans="3:10" ht="18">
      <c r="C607" s="11"/>
      <c r="D607" s="31"/>
      <c r="E607" s="31" t="s">
        <v>208</v>
      </c>
      <c r="F607" s="31" t="s">
        <v>8</v>
      </c>
      <c r="G607" s="12" t="s">
        <v>9</v>
      </c>
      <c r="H607" s="76">
        <f t="shared" si="2"/>
        <v>0.09876165714285716</v>
      </c>
      <c r="I607" s="13">
        <f>IF($C$12=2,0,IF($E$13=4,IF($F$18=4,'Input-Output'!$E$16*0.001102*Calculations!H607*0.4536,0),0))</f>
        <v>0</v>
      </c>
      <c r="J607" s="15" t="s">
        <v>188</v>
      </c>
    </row>
    <row r="608" spans="3:10" ht="18">
      <c r="C608" s="11"/>
      <c r="D608" s="31"/>
      <c r="E608" s="31"/>
      <c r="F608" s="31" t="s">
        <v>133</v>
      </c>
      <c r="G608" s="12" t="s">
        <v>9</v>
      </c>
      <c r="H608" s="76">
        <f t="shared" si="2"/>
        <v>0.09139461085714287</v>
      </c>
      <c r="I608" s="13">
        <f>IF($C$12=2,0,IF($E$13=4,IF($F$18=4,'Input-Output'!$E$16*0.001102*Calculations!H608*0.4536,0),0))</f>
        <v>0</v>
      </c>
      <c r="J608" s="15" t="s">
        <v>188</v>
      </c>
    </row>
    <row r="609" spans="3:10" ht="18">
      <c r="C609" s="11"/>
      <c r="D609" s="31"/>
      <c r="E609" s="31"/>
      <c r="F609" s="31" t="s">
        <v>132</v>
      </c>
      <c r="G609" s="12" t="s">
        <v>9</v>
      </c>
      <c r="H609" s="76">
        <f t="shared" si="2"/>
        <v>0.032026742577142865</v>
      </c>
      <c r="I609" s="13">
        <f>IF($C$12=2,0,IF($E$13=4,IF($F$18=4,'Input-Output'!$E$16*0.001102*Calculations!H609*0.4536,0),0))</f>
        <v>0</v>
      </c>
      <c r="J609" s="15" t="s">
        <v>188</v>
      </c>
    </row>
    <row r="610" spans="3:10" ht="15">
      <c r="C610" s="11"/>
      <c r="D610" s="31"/>
      <c r="E610" s="31"/>
      <c r="F610" s="31" t="s">
        <v>49</v>
      </c>
      <c r="G610" s="12" t="s">
        <v>50</v>
      </c>
      <c r="H610" s="76">
        <f t="shared" si="2"/>
        <v>0.0022931818181818183</v>
      </c>
      <c r="I610" s="13">
        <f>IF($C$12=2,0,IF($E$13=4,IF($F$18=4,'Input-Output'!$E$16*0.001102*Calculations!H610*0.4536,0),0))</f>
        <v>0</v>
      </c>
      <c r="J610" s="15" t="s">
        <v>188</v>
      </c>
    </row>
    <row r="611" spans="3:10" ht="15">
      <c r="C611" s="11"/>
      <c r="D611" s="31"/>
      <c r="E611" s="31"/>
      <c r="F611" s="31" t="s">
        <v>27</v>
      </c>
      <c r="G611" s="12" t="s">
        <v>9</v>
      </c>
      <c r="H611" s="76">
        <f t="shared" si="2"/>
        <v>0.8386470588235294</v>
      </c>
      <c r="I611" s="13">
        <f>IF($C$12=2,0,IF($E$13=4,IF($F$18=4,'Input-Output'!$E$16*0.001102*Calculations!H611*0.4536,0),0))</f>
        <v>0</v>
      </c>
      <c r="J611" s="15" t="s">
        <v>188</v>
      </c>
    </row>
    <row r="612" spans="3:10" ht="15">
      <c r="C612" s="11"/>
      <c r="D612" s="31"/>
      <c r="E612" s="40"/>
      <c r="F612" s="40" t="s">
        <v>28</v>
      </c>
      <c r="G612" s="41" t="s">
        <v>9</v>
      </c>
      <c r="H612" s="84">
        <f t="shared" si="2"/>
        <v>1.1085714285714285</v>
      </c>
      <c r="I612" s="85">
        <f>IF($C$12=2,0,IF($E$13=4,IF($F$18=4,'Input-Output'!$E$16*0.001102*Calculations!H612*0.4536,0),0))</f>
        <v>0</v>
      </c>
      <c r="J612" s="43" t="s">
        <v>188</v>
      </c>
    </row>
    <row r="613" spans="3:10" ht="33.75">
      <c r="C613" s="11"/>
      <c r="D613" s="31"/>
      <c r="E613" s="219" t="s">
        <v>211</v>
      </c>
      <c r="F613" s="31" t="s">
        <v>8</v>
      </c>
      <c r="G613" s="12" t="s">
        <v>9</v>
      </c>
      <c r="H613" s="76">
        <f t="shared" si="2"/>
        <v>0.07256526428571429</v>
      </c>
      <c r="I613" s="13">
        <f>IF($C$12=2,0,IF($E$13=4,IF($F$18=5,'Input-Output'!$E$16*0.001102*Calculations!H613*0.4536,0),0))</f>
        <v>0</v>
      </c>
      <c r="J613" s="15" t="s">
        <v>188</v>
      </c>
    </row>
    <row r="614" spans="3:10" ht="18">
      <c r="C614" s="11"/>
      <c r="D614" s="31"/>
      <c r="E614" s="31"/>
      <c r="F614" s="31" t="s">
        <v>133</v>
      </c>
      <c r="G614" s="12" t="s">
        <v>9</v>
      </c>
      <c r="H614" s="76">
        <f t="shared" si="2"/>
        <v>0.1207848112142857</v>
      </c>
      <c r="I614" s="13">
        <f>IF($C$12=2,0,IF($E$13=4,IF($F$18=5,'Input-Output'!$E$16*0.001102*Calculations!H614*0.4536,0),0))</f>
        <v>0</v>
      </c>
      <c r="J614" s="15" t="s">
        <v>188</v>
      </c>
    </row>
    <row r="615" spans="3:10" ht="18">
      <c r="C615" s="11"/>
      <c r="D615" s="31"/>
      <c r="E615" s="31"/>
      <c r="F615" s="31" t="s">
        <v>132</v>
      </c>
      <c r="G615" s="12" t="s">
        <v>9</v>
      </c>
      <c r="H615" s="76">
        <f t="shared" si="2"/>
        <v>0.07879500085928572</v>
      </c>
      <c r="I615" s="13">
        <f>IF($C$12=2,0,IF($E$13=4,IF($F$18=5,'Input-Output'!$E$16*0.001102*Calculations!H615*0.4536,0),0))</f>
        <v>0</v>
      </c>
      <c r="J615" s="15" t="s">
        <v>188</v>
      </c>
    </row>
    <row r="616" spans="3:10" ht="15">
      <c r="C616" s="11"/>
      <c r="D616" s="31"/>
      <c r="E616" s="31"/>
      <c r="F616" s="31" t="s">
        <v>49</v>
      </c>
      <c r="G616" s="12" t="s">
        <v>50</v>
      </c>
      <c r="H616" s="76">
        <f t="shared" si="2"/>
        <v>15.551418181818182</v>
      </c>
      <c r="I616" s="13">
        <f>IF($C$12=2,0,IF($E$13=4,IF($F$18=5,'Input-Output'!$E$16*0.001102*Calculations!H616*0.4536,0),0))</f>
        <v>0</v>
      </c>
      <c r="J616" s="15" t="s">
        <v>188</v>
      </c>
    </row>
    <row r="617" spans="3:10" ht="15">
      <c r="C617" s="11"/>
      <c r="D617" s="31"/>
      <c r="E617" s="31"/>
      <c r="F617" s="31" t="s">
        <v>27</v>
      </c>
      <c r="G617" s="12" t="s">
        <v>9</v>
      </c>
      <c r="H617" s="76">
        <f t="shared" si="2"/>
        <v>0.8286970588235294</v>
      </c>
      <c r="I617" s="13">
        <f>IF($C$12=2,0,IF($E$13=4,IF($F$18=5,'Input-Output'!$E$16*0.001102*Calculations!H617*0.4536,0),0))</f>
        <v>0</v>
      </c>
      <c r="J617" s="15" t="s">
        <v>188</v>
      </c>
    </row>
    <row r="618" spans="3:10" ht="15">
      <c r="C618" s="11"/>
      <c r="D618" s="31"/>
      <c r="E618" s="40"/>
      <c r="F618" s="40" t="s">
        <v>28</v>
      </c>
      <c r="G618" s="41" t="s">
        <v>9</v>
      </c>
      <c r="H618" s="84">
        <f t="shared" si="2"/>
        <v>0.9846214285714285</v>
      </c>
      <c r="I618" s="85">
        <f>IF($C$12=2,0,IF($E$13=4,IF($F$18=5,'Input-Output'!$E$16*0.001102*Calculations!H618*0.4536,0),0))</f>
        <v>0</v>
      </c>
      <c r="J618" s="43" t="s">
        <v>188</v>
      </c>
    </row>
    <row r="619" spans="3:10" ht="18">
      <c r="C619" s="11"/>
      <c r="D619" s="31"/>
      <c r="E619" s="31" t="s">
        <v>230</v>
      </c>
      <c r="F619" s="31" t="s">
        <v>248</v>
      </c>
      <c r="G619" s="12" t="s">
        <v>9</v>
      </c>
      <c r="H619" s="83">
        <f>AVERAGE(H571)</f>
        <v>0.049047428571428575</v>
      </c>
      <c r="I619" s="13">
        <f>IF($C$12=2,0,IF($E$13=4,IF($F$18=6,'Input-Output'!$E$16*0.001102*Calculations!H619*0.4536,0),0))</f>
        <v>0</v>
      </c>
      <c r="J619" s="15" t="s">
        <v>188</v>
      </c>
    </row>
    <row r="620" spans="3:10" ht="18">
      <c r="C620" s="11"/>
      <c r="D620" s="31"/>
      <c r="E620" s="31"/>
      <c r="F620" s="31" t="s">
        <v>133</v>
      </c>
      <c r="G620" s="12" t="s">
        <v>9</v>
      </c>
      <c r="H620" s="76">
        <f>H619*0.61</f>
        <v>0.02991893142857143</v>
      </c>
      <c r="I620" s="13">
        <f>IF($C$12=2,0,IF($E$13=4,IF($F$18=6,'Input-Output'!$E$16*0.001102*Calculations!H620*0.4536,0),0))</f>
        <v>0</v>
      </c>
      <c r="J620" s="15" t="s">
        <v>188</v>
      </c>
    </row>
    <row r="621" spans="3:10" ht="18">
      <c r="C621" s="11"/>
      <c r="D621" s="31"/>
      <c r="E621" s="31"/>
      <c r="F621" s="31" t="s">
        <v>132</v>
      </c>
      <c r="G621" s="12" t="s">
        <v>9</v>
      </c>
      <c r="H621" s="76">
        <f>H620*0.79</f>
        <v>0.02363595582857143</v>
      </c>
      <c r="I621" s="13">
        <f>IF($C$12=2,0,IF($E$13=4,IF($F$18=6,'Input-Output'!$E$16*0.001102*Calculations!H621*0.4536,0),0))</f>
        <v>0</v>
      </c>
      <c r="J621" s="15" t="s">
        <v>188</v>
      </c>
    </row>
    <row r="622" spans="3:10" ht="15">
      <c r="C622" s="11"/>
      <c r="D622" s="31"/>
      <c r="E622" s="31"/>
      <c r="F622" s="31" t="s">
        <v>49</v>
      </c>
      <c r="G622" s="12" t="s">
        <v>50</v>
      </c>
      <c r="H622" s="75">
        <f>AVERAGE(H574,H526)</f>
        <v>0.0013704</v>
      </c>
      <c r="I622" s="13">
        <f>IF($C$12=2,0,IF($E$13=4,IF($F$18=6,'Input-Output'!$E$16*0.001102*Calculations!H622*0.4536,0),0))</f>
        <v>0</v>
      </c>
      <c r="J622" s="15" t="s">
        <v>188</v>
      </c>
    </row>
    <row r="623" spans="3:10" ht="15">
      <c r="C623" s="11"/>
      <c r="D623" s="31"/>
      <c r="E623" s="31"/>
      <c r="F623" s="31" t="s">
        <v>27</v>
      </c>
      <c r="G623" s="12" t="s">
        <v>9</v>
      </c>
      <c r="H623" s="75">
        <f aca="true" t="shared" si="3" ref="H623:H642">AVERAGE(H575,H527)</f>
        <v>0.08060294117647059</v>
      </c>
      <c r="I623" s="13">
        <f>IF($C$12=2,0,IF($E$13=4,IF($F$18=6,'Input-Output'!$E$16*0.001102*Calculations!H623*0.4536,0),0))</f>
        <v>0</v>
      </c>
      <c r="J623" s="15" t="s">
        <v>188</v>
      </c>
    </row>
    <row r="624" spans="3:10" ht="15">
      <c r="C624" s="11"/>
      <c r="D624" s="31"/>
      <c r="E624" s="40"/>
      <c r="F624" s="40" t="s">
        <v>28</v>
      </c>
      <c r="G624" s="41" t="s">
        <v>9</v>
      </c>
      <c r="H624" s="88">
        <f t="shared" si="3"/>
        <v>0.13216285714285714</v>
      </c>
      <c r="I624" s="85">
        <f>IF($C$12=2,0,IF($E$13=4,IF($F$18=6,'Input-Output'!$E$16*0.001102*Calculations!H624*0.4536,0),0))</f>
        <v>0</v>
      </c>
      <c r="J624" s="43" t="s">
        <v>188</v>
      </c>
    </row>
    <row r="625" spans="3:10" ht="18">
      <c r="C625" s="11"/>
      <c r="D625" s="31"/>
      <c r="E625" s="31" t="s">
        <v>234</v>
      </c>
      <c r="F625" s="31" t="s">
        <v>8</v>
      </c>
      <c r="G625" s="12" t="s">
        <v>9</v>
      </c>
      <c r="H625" s="75">
        <f t="shared" si="3"/>
        <v>0.06008421674473069</v>
      </c>
      <c r="I625" s="13">
        <f>IF($C$12=2,0,IF($E$13=4,IF($F$18=8,'Input-Output'!$E$16*0.001102*Calculations!H625*0.4536,0),0))</f>
        <v>0</v>
      </c>
      <c r="J625" s="15" t="s">
        <v>188</v>
      </c>
    </row>
    <row r="626" spans="3:10" ht="18">
      <c r="C626" s="11"/>
      <c r="D626" s="31"/>
      <c r="E626" s="31"/>
      <c r="F626" s="31" t="s">
        <v>133</v>
      </c>
      <c r="G626" s="12" t="s">
        <v>9</v>
      </c>
      <c r="H626" s="75">
        <f t="shared" si="3"/>
        <v>0.036651372214285716</v>
      </c>
      <c r="I626" s="13">
        <f>IF($C$12=2,0,IF($E$13=4,IF($F$18=8,'Input-Output'!$E$16*0.001102*Calculations!H626*0.4536,0),0))</f>
        <v>0</v>
      </c>
      <c r="J626" s="15" t="s">
        <v>188</v>
      </c>
    </row>
    <row r="627" spans="3:10" ht="18">
      <c r="C627" s="11"/>
      <c r="D627" s="31"/>
      <c r="E627" s="31"/>
      <c r="F627" s="31" t="s">
        <v>132</v>
      </c>
      <c r="G627" s="12" t="s">
        <v>9</v>
      </c>
      <c r="H627" s="75">
        <f t="shared" si="3"/>
        <v>0.02895458404928572</v>
      </c>
      <c r="I627" s="13">
        <f>IF($C$12=2,0,IF($E$13=4,IF($F$18=8,'Input-Output'!$E$16*0.001102*Calculations!H627*0.4536,0),0))</f>
        <v>0</v>
      </c>
      <c r="J627" s="15" t="s">
        <v>188</v>
      </c>
    </row>
    <row r="628" spans="3:10" ht="15">
      <c r="C628" s="11"/>
      <c r="D628" s="31"/>
      <c r="E628" s="31"/>
      <c r="F628" s="31" t="s">
        <v>49</v>
      </c>
      <c r="G628" s="12" t="s">
        <v>50</v>
      </c>
      <c r="H628" s="75">
        <f t="shared" si="3"/>
        <v>0.0013704</v>
      </c>
      <c r="I628" s="13">
        <f>IF($C$12=2,0,IF($E$13=4,IF($F$18=8,'Input-Output'!$E$16*0.001102*Calculations!H628*0.4536,0),0))</f>
        <v>0</v>
      </c>
      <c r="J628" s="15" t="s">
        <v>188</v>
      </c>
    </row>
    <row r="629" spans="3:10" ht="15">
      <c r="C629" s="11"/>
      <c r="D629" s="31"/>
      <c r="E629" s="31"/>
      <c r="F629" s="31" t="s">
        <v>27</v>
      </c>
      <c r="G629" s="12" t="s">
        <v>9</v>
      </c>
      <c r="H629" s="75">
        <f t="shared" si="3"/>
        <v>0.08060294117647059</v>
      </c>
      <c r="I629" s="13">
        <f>IF($C$12=2,0,IF($E$13=4,IF($F$18=8,'Input-Output'!$E$16*0.001102*Calculations!H629*0.4536,0),0))</f>
        <v>0</v>
      </c>
      <c r="J629" s="15" t="s">
        <v>188</v>
      </c>
    </row>
    <row r="630" spans="3:10" ht="15">
      <c r="C630" s="11"/>
      <c r="D630" s="31"/>
      <c r="E630" s="40"/>
      <c r="F630" s="40" t="s">
        <v>28</v>
      </c>
      <c r="G630" s="41" t="s">
        <v>9</v>
      </c>
      <c r="H630" s="88">
        <f t="shared" si="3"/>
        <v>0.13216285714285714</v>
      </c>
      <c r="I630" s="85">
        <f>IF($C$12=2,0,IF($E$13=4,IF($F$18=8,'Input-Output'!$E$16*0.001102*Calculations!H630*0.4536,0),0))</f>
        <v>0</v>
      </c>
      <c r="J630" s="43" t="s">
        <v>188</v>
      </c>
    </row>
    <row r="631" spans="3:10" ht="18">
      <c r="C631" s="11"/>
      <c r="D631" s="31"/>
      <c r="E631" s="31" t="s">
        <v>236</v>
      </c>
      <c r="F631" s="31" t="s">
        <v>8</v>
      </c>
      <c r="G631" s="12" t="s">
        <v>9</v>
      </c>
      <c r="H631" s="75">
        <f t="shared" si="3"/>
        <v>0.019496722915690868</v>
      </c>
      <c r="I631" s="13">
        <f>IF($C$12=2,0,IF($E$13=4,IF($F$18=7,'Input-Output'!$E$16*0.001102*Calculations!H631*0.4536,0),0))</f>
        <v>0</v>
      </c>
      <c r="J631" s="15" t="s">
        <v>188</v>
      </c>
    </row>
    <row r="632" spans="3:10" ht="18">
      <c r="C632" s="11"/>
      <c r="D632" s="31"/>
      <c r="E632" s="31"/>
      <c r="F632" s="31" t="s">
        <v>133</v>
      </c>
      <c r="G632" s="12" t="s">
        <v>9</v>
      </c>
      <c r="H632" s="75">
        <f t="shared" si="3"/>
        <v>0.01189300097857143</v>
      </c>
      <c r="I632" s="13">
        <f>IF($C$12=2,0,IF($E$13=4,IF($F$18=7,'Input-Output'!$E$16*0.001102*Calculations!H632*0.4536,0),0))</f>
        <v>0</v>
      </c>
      <c r="J632" s="15" t="s">
        <v>188</v>
      </c>
    </row>
    <row r="633" spans="3:10" ht="18">
      <c r="C633" s="11"/>
      <c r="D633" s="31"/>
      <c r="E633" s="31"/>
      <c r="F633" s="31" t="s">
        <v>132</v>
      </c>
      <c r="G633" s="12" t="s">
        <v>9</v>
      </c>
      <c r="H633" s="75">
        <f t="shared" si="3"/>
        <v>0.00939547077307143</v>
      </c>
      <c r="I633" s="13">
        <f>IF($C$12=2,0,IF($E$13=4,IF($F$18=7,'Input-Output'!$E$16*0.001102*Calculations!H633*0.4536,0),0))</f>
        <v>0</v>
      </c>
      <c r="J633" s="15" t="s">
        <v>188</v>
      </c>
    </row>
    <row r="634" spans="3:10" ht="15">
      <c r="C634" s="11"/>
      <c r="D634" s="31"/>
      <c r="E634" s="31"/>
      <c r="F634" s="31" t="s">
        <v>49</v>
      </c>
      <c r="G634" s="12" t="s">
        <v>50</v>
      </c>
      <c r="H634" s="75">
        <f t="shared" si="3"/>
        <v>0.0013704</v>
      </c>
      <c r="I634" s="13">
        <f>IF($C$12=2,0,IF($E$13=4,IF($F$18=7,'Input-Output'!$E$16*0.001102*Calculations!H634*0.4536,0),0))</f>
        <v>0</v>
      </c>
      <c r="J634" s="15" t="s">
        <v>188</v>
      </c>
    </row>
    <row r="635" spans="3:10" ht="15">
      <c r="C635" s="11"/>
      <c r="D635" s="31"/>
      <c r="E635" s="31"/>
      <c r="F635" s="31" t="s">
        <v>27</v>
      </c>
      <c r="G635" s="12" t="s">
        <v>9</v>
      </c>
      <c r="H635" s="75">
        <f t="shared" si="3"/>
        <v>0.08060294117647059</v>
      </c>
      <c r="I635" s="13">
        <f>IF($C$12=2,0,IF($E$13=4,IF($F$18=7,'Input-Output'!$E$16*0.001102*Calculations!H635*0.4536,0),0))</f>
        <v>0</v>
      </c>
      <c r="J635" s="15" t="s">
        <v>188</v>
      </c>
    </row>
    <row r="636" spans="3:10" ht="15">
      <c r="C636" s="11"/>
      <c r="D636" s="31"/>
      <c r="E636" s="40"/>
      <c r="F636" s="40" t="s">
        <v>28</v>
      </c>
      <c r="G636" s="41" t="s">
        <v>9</v>
      </c>
      <c r="H636" s="88">
        <f t="shared" si="3"/>
        <v>0.13216285714285714</v>
      </c>
      <c r="I636" s="85">
        <f>IF($C$12=2,0,IF($E$13=4,IF($F$18=7,'Input-Output'!$E$16*0.001102*Calculations!H636*0.4536,0),0))</f>
        <v>0</v>
      </c>
      <c r="J636" s="43" t="s">
        <v>188</v>
      </c>
    </row>
    <row r="637" spans="3:10" ht="18">
      <c r="C637" s="11"/>
      <c r="D637" s="31"/>
      <c r="E637" s="31" t="s">
        <v>221</v>
      </c>
      <c r="F637" s="31" t="s">
        <v>8</v>
      </c>
      <c r="G637" s="12" t="s">
        <v>9</v>
      </c>
      <c r="H637" s="75">
        <f t="shared" si="3"/>
        <v>0.16124642131147543</v>
      </c>
      <c r="I637" s="13">
        <f>IF($C$12=2,0,IF($E$13=4,IF($F$18=9,'Input-Output'!$E$16*0.001102*Calculations!H637*0.4536,0),0))</f>
        <v>0</v>
      </c>
      <c r="J637" s="15" t="s">
        <v>188</v>
      </c>
    </row>
    <row r="638" spans="3:10" ht="18">
      <c r="C638" s="11"/>
      <c r="D638" s="31"/>
      <c r="E638" s="31"/>
      <c r="F638" s="31" t="s">
        <v>133</v>
      </c>
      <c r="G638" s="12" t="s">
        <v>9</v>
      </c>
      <c r="H638" s="75">
        <f t="shared" si="3"/>
        <v>0.098360317</v>
      </c>
      <c r="I638" s="13">
        <f>IF($C$12=2,0,IF($E$13=4,IF($F$18=9,'Input-Output'!$E$16*0.001102*Calculations!H638*0.4536,0),0))</f>
        <v>0</v>
      </c>
      <c r="J638" s="15" t="s">
        <v>188</v>
      </c>
    </row>
    <row r="639" spans="3:10" ht="18">
      <c r="C639" s="11"/>
      <c r="D639" s="31"/>
      <c r="E639" s="31"/>
      <c r="F639" s="31" t="s">
        <v>132</v>
      </c>
      <c r="G639" s="12" t="s">
        <v>9</v>
      </c>
      <c r="H639" s="75">
        <f t="shared" si="3"/>
        <v>0.07770465043000001</v>
      </c>
      <c r="I639" s="13">
        <f>IF($C$12=2,0,IF($E$13=4,IF($F$18=9,'Input-Output'!$E$16*0.001102*Calculations!H639*0.4536,0),0))</f>
        <v>0</v>
      </c>
      <c r="J639" s="15" t="s">
        <v>188</v>
      </c>
    </row>
    <row r="640" spans="3:10" ht="15">
      <c r="C640" s="11"/>
      <c r="D640" s="31"/>
      <c r="E640" s="31"/>
      <c r="F640" s="31" t="s">
        <v>49</v>
      </c>
      <c r="G640" s="12" t="s">
        <v>50</v>
      </c>
      <c r="H640" s="75">
        <f t="shared" si="3"/>
        <v>0.002618181818181818</v>
      </c>
      <c r="I640" s="13">
        <f>IF($C$12=2,0,IF($E$13=4,IF($F$18=9,'Input-Output'!$E$16*0.001102*Calculations!H640*0.4536,0),0))</f>
        <v>0</v>
      </c>
      <c r="J640" s="15" t="s">
        <v>188</v>
      </c>
    </row>
    <row r="641" spans="3:10" ht="15">
      <c r="C641" s="11"/>
      <c r="D641" s="31"/>
      <c r="E641" s="31"/>
      <c r="F641" s="31" t="s">
        <v>27</v>
      </c>
      <c r="G641" s="12" t="s">
        <v>9</v>
      </c>
      <c r="H641" s="75">
        <f t="shared" si="3"/>
        <v>1.0376470588235294</v>
      </c>
      <c r="I641" s="13">
        <f>IF($C$12=2,0,IF($E$13=4,IF($F$18=9,'Input-Output'!$E$16*0.001102*Calculations!H641*0.4536,0),0))</f>
        <v>0</v>
      </c>
      <c r="J641" s="15" t="s">
        <v>188</v>
      </c>
    </row>
    <row r="642" spans="3:10" ht="15">
      <c r="C642" s="48"/>
      <c r="D642" s="40"/>
      <c r="E642" s="40"/>
      <c r="F642" s="40" t="s">
        <v>28</v>
      </c>
      <c r="G642" s="41" t="s">
        <v>9</v>
      </c>
      <c r="H642" s="88">
        <f t="shared" si="3"/>
        <v>1.2385714285714284</v>
      </c>
      <c r="I642" s="85">
        <f>IF($C$12=2,0,IF($E$13=4,IF($F$18=9,'Input-Output'!$E$16*0.001102*Calculations!H642*0.4536,0),0))</f>
        <v>0</v>
      </c>
      <c r="J642" s="43" t="s">
        <v>188</v>
      </c>
    </row>
    <row r="643" spans="3:9" ht="15">
      <c r="C643" s="24" t="s">
        <v>160</v>
      </c>
      <c r="D643" s="24"/>
      <c r="E643" s="24"/>
      <c r="F643" s="24"/>
      <c r="G643" s="25"/>
      <c r="H643" s="27"/>
      <c r="I643" s="27"/>
    </row>
    <row r="644" spans="3:9" ht="15">
      <c r="C644" s="24" t="s">
        <v>146</v>
      </c>
      <c r="D644" s="24"/>
      <c r="E644" s="24"/>
      <c r="F644" s="24"/>
      <c r="G644" s="25"/>
      <c r="H644" s="27"/>
      <c r="I644" s="27"/>
    </row>
    <row r="645" ht="15">
      <c r="C645" s="6" t="s">
        <v>131</v>
      </c>
    </row>
    <row r="646" spans="3:9" ht="33.75" customHeight="1">
      <c r="C646" s="279" t="s">
        <v>134</v>
      </c>
      <c r="D646" s="279"/>
      <c r="E646" s="279"/>
      <c r="F646" s="279"/>
      <c r="G646" s="279"/>
      <c r="H646" s="279"/>
      <c r="I646" s="279"/>
    </row>
    <row r="647" spans="3:9" ht="33" customHeight="1">
      <c r="C647" s="279" t="s">
        <v>241</v>
      </c>
      <c r="D647" s="279"/>
      <c r="E647" s="279"/>
      <c r="F647" s="279"/>
      <c r="G647" s="279"/>
      <c r="H647" s="279"/>
      <c r="I647" s="279"/>
    </row>
    <row r="648" spans="3:9" ht="48.75" customHeight="1">
      <c r="C648" s="279" t="s">
        <v>143</v>
      </c>
      <c r="D648" s="279"/>
      <c r="E648" s="279"/>
      <c r="F648" s="279"/>
      <c r="G648" s="279"/>
      <c r="H648" s="279"/>
      <c r="I648" s="279"/>
    </row>
    <row r="649" spans="3:9" ht="34.5" customHeight="1">
      <c r="C649" s="279" t="s">
        <v>142</v>
      </c>
      <c r="D649" s="279"/>
      <c r="E649" s="279"/>
      <c r="F649" s="279"/>
      <c r="G649" s="279"/>
      <c r="H649" s="279"/>
      <c r="I649" s="279"/>
    </row>
    <row r="650" spans="3:9" ht="63.75" customHeight="1">
      <c r="C650" s="279" t="s">
        <v>207</v>
      </c>
      <c r="D650" s="279"/>
      <c r="E650" s="279"/>
      <c r="F650" s="279"/>
      <c r="G650" s="279"/>
      <c r="H650" s="279"/>
      <c r="I650" s="279"/>
    </row>
    <row r="651" spans="3:9" ht="68.25" customHeight="1">
      <c r="C651" s="279" t="s">
        <v>206</v>
      </c>
      <c r="D651" s="279"/>
      <c r="E651" s="279"/>
      <c r="F651" s="279"/>
      <c r="G651" s="279"/>
      <c r="H651" s="279"/>
      <c r="I651" s="279"/>
    </row>
    <row r="652" spans="3:9" ht="47.25" customHeight="1">
      <c r="C652" s="279" t="s">
        <v>197</v>
      </c>
      <c r="D652" s="279"/>
      <c r="E652" s="279"/>
      <c r="F652" s="279"/>
      <c r="G652" s="279"/>
      <c r="H652" s="279"/>
      <c r="I652" s="279"/>
    </row>
    <row r="653" spans="3:9" ht="54" customHeight="1">
      <c r="C653" s="279" t="s">
        <v>279</v>
      </c>
      <c r="D653" s="279"/>
      <c r="E653" s="279"/>
      <c r="F653" s="279"/>
      <c r="G653" s="279"/>
      <c r="H653" s="279"/>
      <c r="I653" s="279"/>
    </row>
    <row r="654" spans="3:9" ht="49.5" customHeight="1">
      <c r="C654" s="279" t="s">
        <v>200</v>
      </c>
      <c r="D654" s="279"/>
      <c r="E654" s="279"/>
      <c r="F654" s="279"/>
      <c r="G654" s="279"/>
      <c r="H654" s="279"/>
      <c r="I654" s="279"/>
    </row>
    <row r="655" spans="3:9" ht="49.5" customHeight="1">
      <c r="C655" s="279" t="s">
        <v>202</v>
      </c>
      <c r="D655" s="279"/>
      <c r="E655" s="279"/>
      <c r="F655" s="279"/>
      <c r="G655" s="279"/>
      <c r="H655" s="279"/>
      <c r="I655" s="279"/>
    </row>
    <row r="656" spans="3:9" ht="33.75" customHeight="1">
      <c r="C656" s="279" t="s">
        <v>205</v>
      </c>
      <c r="D656" s="279"/>
      <c r="E656" s="279"/>
      <c r="F656" s="279"/>
      <c r="G656" s="279"/>
      <c r="H656" s="279"/>
      <c r="I656" s="279"/>
    </row>
    <row r="657" spans="3:9" ht="33.75" customHeight="1">
      <c r="C657" s="279" t="s">
        <v>210</v>
      </c>
      <c r="D657" s="279"/>
      <c r="E657" s="279"/>
      <c r="F657" s="279"/>
      <c r="G657" s="279"/>
      <c r="H657" s="279"/>
      <c r="I657" s="279"/>
    </row>
    <row r="658" spans="3:9" ht="31.5" customHeight="1">
      <c r="C658" s="279" t="s">
        <v>213</v>
      </c>
      <c r="D658" s="279"/>
      <c r="E658" s="279"/>
      <c r="F658" s="279"/>
      <c r="G658" s="279"/>
      <c r="H658" s="279"/>
      <c r="I658" s="279"/>
    </row>
    <row r="659" spans="3:9" ht="31.5" customHeight="1">
      <c r="C659" s="279" t="s">
        <v>215</v>
      </c>
      <c r="D659" s="279"/>
      <c r="E659" s="279"/>
      <c r="F659" s="279"/>
      <c r="G659" s="279"/>
      <c r="H659" s="279"/>
      <c r="I659" s="279"/>
    </row>
    <row r="660" spans="3:9" ht="31.5" customHeight="1">
      <c r="C660" s="279" t="s">
        <v>220</v>
      </c>
      <c r="D660" s="279"/>
      <c r="E660" s="279"/>
      <c r="F660" s="279"/>
      <c r="G660" s="279"/>
      <c r="H660" s="279"/>
      <c r="I660" s="279"/>
    </row>
    <row r="661" spans="3:9" ht="31.5" customHeight="1">
      <c r="C661" s="279" t="s">
        <v>280</v>
      </c>
      <c r="D661" s="279"/>
      <c r="E661" s="279"/>
      <c r="F661" s="279"/>
      <c r="G661" s="279"/>
      <c r="H661" s="279"/>
      <c r="I661" s="279"/>
    </row>
    <row r="662" spans="3:9" ht="31.5" customHeight="1">
      <c r="C662" s="279" t="s">
        <v>223</v>
      </c>
      <c r="D662" s="279"/>
      <c r="E662" s="279"/>
      <c r="F662" s="279"/>
      <c r="G662" s="279"/>
      <c r="H662" s="279"/>
      <c r="I662" s="279"/>
    </row>
    <row r="663" spans="3:9" ht="33.75" customHeight="1">
      <c r="C663" s="279" t="s">
        <v>225</v>
      </c>
      <c r="D663" s="279"/>
      <c r="E663" s="279"/>
      <c r="F663" s="279"/>
      <c r="G663" s="279"/>
      <c r="H663" s="279"/>
      <c r="I663" s="279"/>
    </row>
    <row r="664" spans="3:9" ht="33.75" customHeight="1">
      <c r="C664" s="279" t="s">
        <v>227</v>
      </c>
      <c r="D664" s="279"/>
      <c r="E664" s="279"/>
      <c r="F664" s="279"/>
      <c r="G664" s="279"/>
      <c r="H664" s="279"/>
      <c r="I664" s="279"/>
    </row>
    <row r="665" spans="3:9" ht="31.5" customHeight="1">
      <c r="C665" s="279" t="s">
        <v>229</v>
      </c>
      <c r="D665" s="279"/>
      <c r="E665" s="279"/>
      <c r="F665" s="279"/>
      <c r="G665" s="279"/>
      <c r="H665" s="279"/>
      <c r="I665" s="279"/>
    </row>
    <row r="666" spans="3:9" ht="31.5" customHeight="1">
      <c r="C666" s="279" t="s">
        <v>232</v>
      </c>
      <c r="D666" s="279"/>
      <c r="E666" s="279"/>
      <c r="F666" s="279"/>
      <c r="G666" s="279"/>
      <c r="H666" s="279"/>
      <c r="I666" s="279"/>
    </row>
    <row r="667" spans="3:9" ht="31.5" customHeight="1">
      <c r="C667" s="279" t="s">
        <v>233</v>
      </c>
      <c r="D667" s="279"/>
      <c r="E667" s="279"/>
      <c r="F667" s="279"/>
      <c r="G667" s="279"/>
      <c r="H667" s="279"/>
      <c r="I667" s="279"/>
    </row>
    <row r="668" spans="3:9" ht="31.5" customHeight="1">
      <c r="C668" s="279" t="s">
        <v>239</v>
      </c>
      <c r="D668" s="279"/>
      <c r="E668" s="279"/>
      <c r="F668" s="279"/>
      <c r="G668" s="279"/>
      <c r="H668" s="279"/>
      <c r="I668" s="279"/>
    </row>
    <row r="669" spans="3:9" ht="31.5" customHeight="1">
      <c r="C669" s="279" t="s">
        <v>240</v>
      </c>
      <c r="D669" s="279"/>
      <c r="E669" s="279"/>
      <c r="F669" s="279"/>
      <c r="G669" s="279"/>
      <c r="H669" s="279"/>
      <c r="I669" s="279"/>
    </row>
    <row r="670" spans="3:9" ht="31.5" customHeight="1">
      <c r="C670" s="279" t="s">
        <v>281</v>
      </c>
      <c r="D670" s="279"/>
      <c r="E670" s="279"/>
      <c r="F670" s="279"/>
      <c r="G670" s="279"/>
      <c r="H670" s="279"/>
      <c r="I670" s="279"/>
    </row>
    <row r="671" spans="3:9" ht="31.5" customHeight="1">
      <c r="C671" s="279" t="s">
        <v>245</v>
      </c>
      <c r="D671" s="279"/>
      <c r="E671" s="279"/>
      <c r="F671" s="279"/>
      <c r="G671" s="279"/>
      <c r="H671" s="279"/>
      <c r="I671" s="279"/>
    </row>
    <row r="672" spans="3:9" ht="31.5" customHeight="1">
      <c r="C672" s="279" t="s">
        <v>246</v>
      </c>
      <c r="D672" s="279"/>
      <c r="E672" s="279"/>
      <c r="F672" s="279"/>
      <c r="G672" s="279"/>
      <c r="H672" s="279"/>
      <c r="I672" s="279"/>
    </row>
    <row r="673" spans="3:9" ht="15.75" customHeight="1">
      <c r="C673" s="279" t="s">
        <v>282</v>
      </c>
      <c r="D673" s="279"/>
      <c r="E673" s="279"/>
      <c r="F673" s="279"/>
      <c r="G673" s="279"/>
      <c r="H673" s="279"/>
      <c r="I673" s="279"/>
    </row>
    <row r="674" spans="3:9" ht="15">
      <c r="C674" s="279"/>
      <c r="D674" s="279"/>
      <c r="E674" s="279"/>
      <c r="F674" s="279"/>
      <c r="G674" s="279"/>
      <c r="H674" s="279"/>
      <c r="I674" s="279"/>
    </row>
    <row r="675" spans="3:9" ht="15">
      <c r="C675" s="182"/>
      <c r="D675" s="182"/>
      <c r="E675" s="182"/>
      <c r="F675" s="182"/>
      <c r="G675" s="182"/>
      <c r="H675" s="182"/>
      <c r="I675" s="182"/>
    </row>
    <row r="676" ht="15">
      <c r="C676" s="5" t="s">
        <v>156</v>
      </c>
    </row>
    <row r="677" ht="15">
      <c r="C677" s="6" t="s">
        <v>158</v>
      </c>
    </row>
    <row r="678" spans="3:4" ht="15">
      <c r="C678" s="33" t="s">
        <v>157</v>
      </c>
      <c r="D678" s="35" t="s">
        <v>166</v>
      </c>
    </row>
    <row r="679" spans="3:4" ht="15">
      <c r="C679" s="33" t="s">
        <v>121</v>
      </c>
      <c r="D679" s="35" t="s">
        <v>159</v>
      </c>
    </row>
    <row r="680" spans="3:4" ht="15">
      <c r="C680" s="33" t="s">
        <v>121</v>
      </c>
      <c r="D680" s="52">
        <f>10000*0.001102*4.1*0.4536</f>
        <v>20.494555199999997</v>
      </c>
    </row>
    <row r="681" ht="15.75" thickBot="1"/>
    <row r="682" spans="3:10" ht="33.75" thickBot="1">
      <c r="C682" s="92" t="s">
        <v>0</v>
      </c>
      <c r="D682" s="93"/>
      <c r="E682" s="37" t="s">
        <v>2</v>
      </c>
      <c r="F682" s="37" t="s">
        <v>3</v>
      </c>
      <c r="G682" s="38" t="s">
        <v>114</v>
      </c>
      <c r="H682" s="10" t="s">
        <v>91</v>
      </c>
      <c r="I682" s="81" t="s">
        <v>4</v>
      </c>
      <c r="J682" s="39" t="s">
        <v>250</v>
      </c>
    </row>
    <row r="683" spans="3:10" ht="15">
      <c r="C683" s="51" t="s">
        <v>77</v>
      </c>
      <c r="D683" s="47"/>
      <c r="E683" s="50" t="s">
        <v>7</v>
      </c>
      <c r="F683" s="50" t="s">
        <v>8</v>
      </c>
      <c r="G683" s="21" t="s">
        <v>9</v>
      </c>
      <c r="H683" s="22">
        <v>0.06</v>
      </c>
      <c r="I683" s="104">
        <f>IF($H$14=2,IF($J$14=2,'Input-Output'!$E$18*Calculations!H683,0),0)</f>
        <v>0</v>
      </c>
      <c r="J683" s="15" t="s">
        <v>187</v>
      </c>
    </row>
    <row r="684" spans="3:10" ht="15">
      <c r="C684" s="51"/>
      <c r="D684" s="47"/>
      <c r="E684" s="31"/>
      <c r="F684" s="31" t="s">
        <v>10</v>
      </c>
      <c r="G684" s="12" t="s">
        <v>9</v>
      </c>
      <c r="H684" s="14">
        <v>0.05</v>
      </c>
      <c r="I684" s="104">
        <f>IF($H$14=2,IF($J$14=2,'Input-Output'!$E$18*Calculations!H684,0),0)</f>
        <v>0</v>
      </c>
      <c r="J684" s="15" t="s">
        <v>188</v>
      </c>
    </row>
    <row r="685" spans="3:10" ht="18">
      <c r="C685" s="51"/>
      <c r="D685" s="47"/>
      <c r="E685" s="31"/>
      <c r="F685" s="31" t="s">
        <v>132</v>
      </c>
      <c r="G685" s="12" t="s">
        <v>9</v>
      </c>
      <c r="H685" s="75">
        <f>H684*0.79</f>
        <v>0.03950000000000001</v>
      </c>
      <c r="I685" s="104">
        <f>IF($H$14=2,IF($J$14=2,'Input-Output'!$E$18*Calculations!H685,0),0)</f>
        <v>0</v>
      </c>
      <c r="J685" s="15" t="s">
        <v>188</v>
      </c>
    </row>
    <row r="686" spans="3:10" ht="15">
      <c r="C686" s="51"/>
      <c r="D686" s="47"/>
      <c r="E686" s="31"/>
      <c r="F686" s="31" t="s">
        <v>18</v>
      </c>
      <c r="G686" s="12" t="s">
        <v>25</v>
      </c>
      <c r="H686" s="75">
        <v>0.0245</v>
      </c>
      <c r="I686" s="104">
        <f>IF($H$14=2,IF($J$14=2,'Input-Output'!$E$18*Calculations!H686,0),0)</f>
        <v>0</v>
      </c>
      <c r="J686" s="15" t="s">
        <v>187</v>
      </c>
    </row>
    <row r="687" spans="3:10" ht="15">
      <c r="C687" s="51"/>
      <c r="D687" s="47"/>
      <c r="E687" s="31"/>
      <c r="F687" s="31" t="s">
        <v>19</v>
      </c>
      <c r="G687" s="12" t="s">
        <v>20</v>
      </c>
      <c r="H687" s="75">
        <f>0.095*0.5</f>
        <v>0.0475</v>
      </c>
      <c r="I687" s="104">
        <f>IF($H$14=2,IF($J$14=2,'Input-Output'!$E$18*Calculations!H687,0),0)</f>
        <v>0</v>
      </c>
      <c r="J687" s="15" t="s">
        <v>187</v>
      </c>
    </row>
    <row r="688" spans="3:10" ht="15">
      <c r="C688" s="51"/>
      <c r="D688" s="47"/>
      <c r="E688" s="31"/>
      <c r="F688" s="31" t="s">
        <v>27</v>
      </c>
      <c r="G688" s="12" t="s">
        <v>9</v>
      </c>
      <c r="H688" s="14">
        <f>0.07</f>
        <v>0.07</v>
      </c>
      <c r="I688" s="104">
        <f>IF($H$14=2,IF($J$14=2,'Input-Output'!$E$18*Calculations!H688,0),0)</f>
        <v>0</v>
      </c>
      <c r="J688" s="15" t="s">
        <v>187</v>
      </c>
    </row>
    <row r="689" spans="3:10" ht="15">
      <c r="C689" s="51"/>
      <c r="D689" s="47"/>
      <c r="E689" s="31"/>
      <c r="F689" s="31" t="s">
        <v>28</v>
      </c>
      <c r="G689" s="12" t="s">
        <v>9</v>
      </c>
      <c r="H689" s="14">
        <f>0.105</f>
        <v>0.105</v>
      </c>
      <c r="I689" s="104">
        <f>IF($H$14=2,IF($J$14=2,'Input-Output'!$E$18*Calculations!H689,0),0)</f>
        <v>0</v>
      </c>
      <c r="J689" s="15" t="s">
        <v>188</v>
      </c>
    </row>
    <row r="690" spans="3:10" ht="15">
      <c r="C690" s="51"/>
      <c r="D690" s="47"/>
      <c r="E690" s="31"/>
      <c r="F690" s="31" t="s">
        <v>31</v>
      </c>
      <c r="G690" s="12" t="s">
        <v>32</v>
      </c>
      <c r="H690" s="14">
        <f>0.0026</f>
        <v>0.0026</v>
      </c>
      <c r="I690" s="104">
        <f>IF($H$14=2,IF($J$14=2,'Input-Output'!$E$18*Calculations!H690,0),0)</f>
        <v>0</v>
      </c>
      <c r="J690" s="15" t="s">
        <v>188</v>
      </c>
    </row>
    <row r="691" spans="3:10" ht="15">
      <c r="C691" s="51"/>
      <c r="D691" s="47"/>
      <c r="E691" s="31"/>
      <c r="F691" s="31" t="s">
        <v>33</v>
      </c>
      <c r="G691" s="12" t="s">
        <v>34</v>
      </c>
      <c r="H691" s="77">
        <f>0.0035*0.5</f>
        <v>0.00175</v>
      </c>
      <c r="I691" s="104">
        <f>IF($H$14=2,IF($J$14=2,'Input-Output'!$E$18*Calculations!H691,0),0)</f>
        <v>0</v>
      </c>
      <c r="J691" s="15" t="s">
        <v>188</v>
      </c>
    </row>
    <row r="692" spans="3:10" ht="15">
      <c r="C692" s="51"/>
      <c r="D692" s="47"/>
      <c r="E692" s="31"/>
      <c r="F692" s="31" t="s">
        <v>49</v>
      </c>
      <c r="G692" s="12" t="s">
        <v>50</v>
      </c>
      <c r="H692" s="14">
        <f>0.022</f>
        <v>0.022</v>
      </c>
      <c r="I692" s="104">
        <f>IF($H$14=2,IF($J$14=2,'Input-Output'!$E$18*Calculations!H692,0),0)</f>
        <v>0</v>
      </c>
      <c r="J692" s="15" t="s">
        <v>187</v>
      </c>
    </row>
    <row r="693" spans="3:10" ht="15">
      <c r="C693" s="51"/>
      <c r="D693" s="47"/>
      <c r="E693" s="31"/>
      <c r="F693" s="31" t="s">
        <v>53</v>
      </c>
      <c r="G693" s="12" t="s">
        <v>81</v>
      </c>
      <c r="H693" s="14">
        <v>0.25</v>
      </c>
      <c r="I693" s="104">
        <f>IF($H$14=2,IF($J$14=2,'Input-Output'!$E$18*Calculations!H693,0),0)</f>
        <v>0</v>
      </c>
      <c r="J693" s="15" t="s">
        <v>188</v>
      </c>
    </row>
    <row r="694" spans="3:10" ht="15">
      <c r="C694" s="51"/>
      <c r="D694" s="47"/>
      <c r="E694" s="31"/>
      <c r="F694" s="31" t="s">
        <v>65</v>
      </c>
      <c r="G694" s="12" t="s">
        <v>66</v>
      </c>
      <c r="H694" s="14">
        <v>0.036</v>
      </c>
      <c r="I694" s="105">
        <f>IF($H$14=2,IF($J$14=2,'Input-Output'!$E$18*Calculations!H694,0),0)</f>
        <v>0</v>
      </c>
      <c r="J694" s="43" t="s">
        <v>187</v>
      </c>
    </row>
    <row r="695" spans="3:10" ht="15">
      <c r="C695" s="51"/>
      <c r="D695" s="47"/>
      <c r="E695" s="44" t="s">
        <v>12</v>
      </c>
      <c r="F695" s="44" t="s">
        <v>18</v>
      </c>
      <c r="G695" s="45" t="s">
        <v>25</v>
      </c>
      <c r="H695" s="83">
        <v>0.175</v>
      </c>
      <c r="I695" s="104">
        <f>IF($H$14=2,IF($J$14=3,'Input-Output'!$E$18*Calculations!H695,0),0)</f>
        <v>0</v>
      </c>
      <c r="J695" s="15" t="s">
        <v>188</v>
      </c>
    </row>
    <row r="696" spans="3:10" ht="15">
      <c r="C696" s="51"/>
      <c r="D696" s="47"/>
      <c r="E696" s="31"/>
      <c r="F696" s="31" t="s">
        <v>19</v>
      </c>
      <c r="G696" s="12" t="s">
        <v>20</v>
      </c>
      <c r="H696" s="76">
        <v>0.105</v>
      </c>
      <c r="I696" s="104">
        <f>IF($H$14=2,IF($J$14=3,'Input-Output'!$E$18*Calculations!H696,0),0)</f>
        <v>0</v>
      </c>
      <c r="J696" s="15" t="s">
        <v>188</v>
      </c>
    </row>
    <row r="697" spans="3:10" ht="15">
      <c r="C697" s="51"/>
      <c r="D697" s="47"/>
      <c r="E697" s="31"/>
      <c r="F697" s="31" t="s">
        <v>21</v>
      </c>
      <c r="G697" s="12" t="s">
        <v>22</v>
      </c>
      <c r="H697" s="14">
        <v>31.1</v>
      </c>
      <c r="I697" s="104">
        <f>IF($H$14=2,IF($J$14=3,'Input-Output'!$E$18*Calculations!H697,0),0)</f>
        <v>0</v>
      </c>
      <c r="J697" s="15" t="s">
        <v>187</v>
      </c>
    </row>
    <row r="698" spans="3:10" ht="18">
      <c r="C698" s="51"/>
      <c r="D698" s="47"/>
      <c r="E698" s="31"/>
      <c r="F698" s="31" t="s">
        <v>141</v>
      </c>
      <c r="G698" s="12" t="s">
        <v>9</v>
      </c>
      <c r="H698" s="14">
        <v>0.0021</v>
      </c>
      <c r="I698" s="104">
        <f>IF($H$14=2,IF($J$14=3,'Input-Output'!$E$18*Calculations!H698,0),0)</f>
        <v>0</v>
      </c>
      <c r="J698" s="15" t="s">
        <v>188</v>
      </c>
    </row>
    <row r="699" spans="3:10" ht="15">
      <c r="C699" s="51"/>
      <c r="D699" s="47"/>
      <c r="E699" s="40"/>
      <c r="F699" s="40" t="s">
        <v>49</v>
      </c>
      <c r="G699" s="41" t="s">
        <v>50</v>
      </c>
      <c r="H699" s="42">
        <v>0.0021</v>
      </c>
      <c r="I699" s="105">
        <f>IF($H$14=2,IF($J$14=3,'Input-Output'!$E$18*Calculations!H699,0),0)</f>
        <v>0</v>
      </c>
      <c r="J699" s="43" t="s">
        <v>188</v>
      </c>
    </row>
    <row r="700" spans="3:10" ht="15">
      <c r="C700" s="51"/>
      <c r="D700" s="47"/>
      <c r="E700" s="44" t="s">
        <v>82</v>
      </c>
      <c r="F700" s="44" t="s">
        <v>27</v>
      </c>
      <c r="G700" s="45" t="s">
        <v>9</v>
      </c>
      <c r="H700" s="100">
        <v>0.0265</v>
      </c>
      <c r="I700" s="104">
        <f>IF($H$14=2,IF($J$14=5,'Input-Output'!$E$18*Calculations!H700,0),0)</f>
        <v>0</v>
      </c>
      <c r="J700" s="15" t="s">
        <v>188</v>
      </c>
    </row>
    <row r="701" spans="3:10" ht="15">
      <c r="C701" s="51"/>
      <c r="D701" s="47"/>
      <c r="E701" s="31"/>
      <c r="F701" s="31" t="s">
        <v>28</v>
      </c>
      <c r="G701" s="12" t="s">
        <v>9</v>
      </c>
      <c r="H701" s="75">
        <v>0.0305</v>
      </c>
      <c r="I701" s="104">
        <f>IF($H$14=2,IF($J$14=5,'Input-Output'!$E$18*Calculations!H701,0),0)</f>
        <v>0</v>
      </c>
      <c r="J701" s="15" t="s">
        <v>188</v>
      </c>
    </row>
    <row r="702" spans="3:10" ht="15">
      <c r="C702" s="51"/>
      <c r="D702" s="47"/>
      <c r="E702" s="31"/>
      <c r="F702" s="31" t="s">
        <v>33</v>
      </c>
      <c r="G702" s="12" t="s">
        <v>34</v>
      </c>
      <c r="H702" s="77">
        <v>0.00185</v>
      </c>
      <c r="I702" s="104">
        <f>IF($H$14=2,IF($J$14=5,'Input-Output'!$E$18*Calculations!H702,0),0)</f>
        <v>0</v>
      </c>
      <c r="J702" s="15" t="s">
        <v>188</v>
      </c>
    </row>
    <row r="703" spans="3:10" ht="15">
      <c r="C703" s="51"/>
      <c r="D703" s="47"/>
      <c r="E703" s="40"/>
      <c r="F703" s="40" t="s">
        <v>53</v>
      </c>
      <c r="G703" s="41" t="s">
        <v>54</v>
      </c>
      <c r="H703" s="42">
        <v>0.05</v>
      </c>
      <c r="I703" s="105">
        <f>IF($H$14=2,IF($J$14=5,'Input-Output'!$E$18*Calculations!H703,0),0)</f>
        <v>0</v>
      </c>
      <c r="J703" s="43" t="s">
        <v>188</v>
      </c>
    </row>
    <row r="704" spans="3:10" ht="18">
      <c r="C704" s="51"/>
      <c r="D704" s="47"/>
      <c r="E704" s="31" t="s">
        <v>261</v>
      </c>
      <c r="F704" s="31" t="s">
        <v>27</v>
      </c>
      <c r="G704" s="12" t="s">
        <v>9</v>
      </c>
      <c r="H704" s="75">
        <f>0.07*0.1077</f>
        <v>0.007539000000000001</v>
      </c>
      <c r="I704" s="106">
        <f>IF($H$14=2,IF($J$14=4,'Input-Output'!$E$18*Calculations!H704,0),0)</f>
        <v>0</v>
      </c>
      <c r="J704" s="15" t="s">
        <v>188</v>
      </c>
    </row>
    <row r="705" spans="3:10" ht="15">
      <c r="C705" s="51"/>
      <c r="D705" s="47"/>
      <c r="E705" s="31"/>
      <c r="F705" s="31" t="s">
        <v>28</v>
      </c>
      <c r="G705" s="12" t="s">
        <v>9</v>
      </c>
      <c r="H705" s="76">
        <f>0.105*0.043*0.34^-1</f>
        <v>0.013279411764705878</v>
      </c>
      <c r="I705" s="107">
        <f>IF($H$14=2,IF($J$14=4,'Input-Output'!$E$18*Calculations!H705,0),0)</f>
        <v>0</v>
      </c>
      <c r="J705" s="15" t="s">
        <v>188</v>
      </c>
    </row>
    <row r="706" spans="3:10" ht="15">
      <c r="C706" s="51"/>
      <c r="D706" s="47"/>
      <c r="E706" s="31"/>
      <c r="F706" s="31" t="s">
        <v>33</v>
      </c>
      <c r="G706" s="12" t="s">
        <v>34</v>
      </c>
      <c r="H706" s="75">
        <f>0.0018*0.0031/0.0055</f>
        <v>0.0010145454545454546</v>
      </c>
      <c r="I706" s="107">
        <f>IF($H$14=2,IF($J$14=4,'Input-Output'!$E$18*Calculations!H706,0),0)</f>
        <v>0</v>
      </c>
      <c r="J706" s="15" t="s">
        <v>188</v>
      </c>
    </row>
    <row r="707" spans="3:10" ht="15">
      <c r="C707" s="51"/>
      <c r="D707" s="47"/>
      <c r="E707" s="31"/>
      <c r="F707" s="31" t="s">
        <v>49</v>
      </c>
      <c r="G707" s="12" t="s">
        <v>50</v>
      </c>
      <c r="H707" s="75">
        <f>0.022*0.012/0.028</f>
        <v>0.009428571428571427</v>
      </c>
      <c r="I707" s="107">
        <f>IF($H$14=2,IF($J$14=4,'Input-Output'!$E$18*Calculations!H707,0),0)</f>
        <v>0</v>
      </c>
      <c r="J707" s="15" t="s">
        <v>188</v>
      </c>
    </row>
    <row r="708" spans="3:10" ht="15">
      <c r="C708" s="51"/>
      <c r="D708" s="47"/>
      <c r="E708" s="31"/>
      <c r="F708" s="31" t="s">
        <v>53</v>
      </c>
      <c r="G708" s="12" t="s">
        <v>54</v>
      </c>
      <c r="H708" s="14">
        <f>0.25*0.02/0.125</f>
        <v>0.04</v>
      </c>
      <c r="I708" s="107">
        <f>IF($H$14=2,IF($J$14=4,'Input-Output'!$E$18*Calculations!H708,0),0)</f>
        <v>0</v>
      </c>
      <c r="J708" s="15" t="s">
        <v>188</v>
      </c>
    </row>
    <row r="709" spans="3:10" ht="15">
      <c r="C709" s="90"/>
      <c r="D709" s="91"/>
      <c r="E709" s="40"/>
      <c r="F709" s="40" t="s">
        <v>65</v>
      </c>
      <c r="G709" s="41" t="s">
        <v>66</v>
      </c>
      <c r="H709" s="88">
        <f>0.036*0.0034/0.0075</f>
        <v>0.01632</v>
      </c>
      <c r="I709" s="105">
        <f>IF($H$14=2,IF($J$14=4,'Input-Output'!$E$18*Calculations!H709,0),0)</f>
        <v>0</v>
      </c>
      <c r="J709" s="43" t="s">
        <v>188</v>
      </c>
    </row>
    <row r="710" spans="3:10" ht="15">
      <c r="C710" s="51" t="s">
        <v>78</v>
      </c>
      <c r="D710" s="47"/>
      <c r="E710" s="31" t="s">
        <v>7</v>
      </c>
      <c r="F710" s="31" t="s">
        <v>8</v>
      </c>
      <c r="G710" s="12" t="s">
        <v>9</v>
      </c>
      <c r="H710" s="14">
        <v>0.055</v>
      </c>
      <c r="I710" s="104">
        <f>IF($H$14=3,IF($J$14=2,'Input-Output'!$E$18*Calculations!H710,0),0)</f>
        <v>0</v>
      </c>
      <c r="J710" s="15" t="s">
        <v>188</v>
      </c>
    </row>
    <row r="711" spans="3:10" ht="18">
      <c r="C711" s="51"/>
      <c r="D711" s="47"/>
      <c r="E711" s="31"/>
      <c r="F711" s="31" t="s">
        <v>133</v>
      </c>
      <c r="G711" s="12" t="s">
        <v>9</v>
      </c>
      <c r="H711" s="75">
        <f>H710*0.61</f>
        <v>0.033549999999999996</v>
      </c>
      <c r="I711" s="104">
        <f>IF($H$14=3,IF($J$14=2,'Input-Output'!$E$18*Calculations!H711,0),0)</f>
        <v>0</v>
      </c>
      <c r="J711" s="15" t="s">
        <v>188</v>
      </c>
    </row>
    <row r="712" spans="3:10" ht="18">
      <c r="C712" s="51"/>
      <c r="D712" s="47"/>
      <c r="E712" s="31"/>
      <c r="F712" s="31" t="s">
        <v>132</v>
      </c>
      <c r="G712" s="12" t="s">
        <v>9</v>
      </c>
      <c r="H712" s="75">
        <f>H711*0.79</f>
        <v>0.026504499999999997</v>
      </c>
      <c r="I712" s="104">
        <f>IF($H$14=3,IF($J$14=2,'Input-Output'!$E$18*Calculations!H712,0),0)</f>
        <v>0</v>
      </c>
      <c r="J712" s="15" t="s">
        <v>188</v>
      </c>
    </row>
    <row r="713" spans="3:10" ht="15">
      <c r="C713" s="51"/>
      <c r="D713" s="47"/>
      <c r="E713" s="31"/>
      <c r="F713" s="31" t="s">
        <v>18</v>
      </c>
      <c r="G713" s="12" t="s">
        <v>25</v>
      </c>
      <c r="H713" s="14">
        <v>0.0007</v>
      </c>
      <c r="I713" s="104">
        <f>IF($H$14=3,IF($J$14=2,'Input-Output'!$E$18*Calculations!H713,0),0)</f>
        <v>0</v>
      </c>
      <c r="J713" s="15" t="s">
        <v>188</v>
      </c>
    </row>
    <row r="714" spans="3:10" ht="15">
      <c r="C714" s="51"/>
      <c r="D714" s="47"/>
      <c r="E714" s="31"/>
      <c r="F714" s="31" t="s">
        <v>49</v>
      </c>
      <c r="G714" s="12" t="s">
        <v>50</v>
      </c>
      <c r="H714" s="14">
        <v>0.7</v>
      </c>
      <c r="I714" s="104">
        <f>IF($H$14=3,IF($J$14=2,'Input-Output'!$E$18*Calculations!H714,0),0)</f>
        <v>0</v>
      </c>
      <c r="J714" s="15" t="s">
        <v>188</v>
      </c>
    </row>
    <row r="715" spans="3:10" ht="18">
      <c r="C715" s="51"/>
      <c r="D715" s="47"/>
      <c r="E715" s="31"/>
      <c r="F715" s="31" t="s">
        <v>141</v>
      </c>
      <c r="G715" s="12" t="s">
        <v>9</v>
      </c>
      <c r="H715" s="14">
        <v>0.7</v>
      </c>
      <c r="I715" s="104">
        <f>IF($H$14=3,IF($J$14=2,'Input-Output'!$E$18*Calculations!H715,0),0)</f>
        <v>0</v>
      </c>
      <c r="J715" s="15" t="s">
        <v>188</v>
      </c>
    </row>
    <row r="716" spans="3:10" ht="15">
      <c r="C716" s="51"/>
      <c r="D716" s="47"/>
      <c r="E716" s="31"/>
      <c r="F716" s="31" t="s">
        <v>19</v>
      </c>
      <c r="G716" s="12" t="s">
        <v>20</v>
      </c>
      <c r="H716" s="14">
        <v>0.0013</v>
      </c>
      <c r="I716" s="105">
        <f>IF($H$14=3,IF($J$14=2,'Input-Output'!$E$18*Calculations!H716,0),0)</f>
        <v>0</v>
      </c>
      <c r="J716" s="42" t="s">
        <v>188</v>
      </c>
    </row>
    <row r="717" spans="3:10" ht="18">
      <c r="C717" s="51"/>
      <c r="D717" s="47"/>
      <c r="E717" s="44" t="s">
        <v>251</v>
      </c>
      <c r="F717" s="44" t="s">
        <v>18</v>
      </c>
      <c r="G717" s="45" t="s">
        <v>25</v>
      </c>
      <c r="H717" s="46">
        <f>0.0007*QUOTIENT(0.18,0.025)</f>
        <v>0.0049</v>
      </c>
      <c r="I717" s="104">
        <f>IF($H$14=3,IF($J$14=3,'Input-Output'!$E$18*Calculations!H717,0),0)</f>
        <v>0</v>
      </c>
      <c r="J717" s="15" t="s">
        <v>188</v>
      </c>
    </row>
    <row r="718" spans="3:10" ht="15">
      <c r="C718" s="51"/>
      <c r="D718" s="47"/>
      <c r="E718" s="31"/>
      <c r="F718" s="31" t="s">
        <v>49</v>
      </c>
      <c r="G718" s="12" t="s">
        <v>50</v>
      </c>
      <c r="H718" s="76">
        <f>0.7*0.095454545454</f>
        <v>0.0668181818178</v>
      </c>
      <c r="I718" s="104">
        <f>IF($H$14=3,IF($J$14=3,'Input-Output'!$E$18*Calculations!H718,0),0)</f>
        <v>0</v>
      </c>
      <c r="J718" s="15" t="s">
        <v>188</v>
      </c>
    </row>
    <row r="719" spans="3:10" ht="18">
      <c r="C719" s="51"/>
      <c r="D719" s="47"/>
      <c r="E719" s="31"/>
      <c r="F719" s="31" t="s">
        <v>141</v>
      </c>
      <c r="G719" s="12" t="s">
        <v>9</v>
      </c>
      <c r="H719" s="76">
        <f>0.7*0.02</f>
        <v>0.013999999999999999</v>
      </c>
      <c r="I719" s="104">
        <f>IF($H$14=3,IF($J$14=3,'Input-Output'!$E$18*Calculations!H719,0),0)</f>
        <v>0</v>
      </c>
      <c r="J719" s="15" t="s">
        <v>188</v>
      </c>
    </row>
    <row r="720" spans="3:10" ht="15">
      <c r="C720" s="51"/>
      <c r="D720" s="47"/>
      <c r="E720" s="40"/>
      <c r="F720" s="40" t="s">
        <v>19</v>
      </c>
      <c r="G720" s="41" t="s">
        <v>20</v>
      </c>
      <c r="H720" s="42">
        <f>0.0013*QUOTIENT(0.11,0.048)</f>
        <v>0.0026</v>
      </c>
      <c r="I720" s="105">
        <f>IF($H$14=3,IF($J$14=3,'Input-Output'!$E$18*Calculations!H720,0),0)</f>
        <v>0</v>
      </c>
      <c r="J720" s="42" t="s">
        <v>188</v>
      </c>
    </row>
    <row r="721" spans="3:10" ht="18">
      <c r="C721" s="51"/>
      <c r="D721" s="47"/>
      <c r="E721" s="95" t="s">
        <v>252</v>
      </c>
      <c r="F721" s="95" t="s">
        <v>253</v>
      </c>
      <c r="G721" s="96" t="s">
        <v>9</v>
      </c>
      <c r="H721" s="97">
        <f>0.7*0.2952</f>
        <v>0.20664</v>
      </c>
      <c r="I721" s="108">
        <f>IF($H$14=3,IF($J$14=5,'Input-Output'!$E$18*Calculations!H721,0),0)</f>
        <v>0</v>
      </c>
      <c r="J721" s="42" t="s">
        <v>188</v>
      </c>
    </row>
    <row r="722" spans="3:10" ht="18">
      <c r="C722" s="90"/>
      <c r="D722" s="91"/>
      <c r="E722" s="40" t="s">
        <v>263</v>
      </c>
      <c r="F722" s="95" t="s">
        <v>253</v>
      </c>
      <c r="G722" s="41" t="s">
        <v>9</v>
      </c>
      <c r="H722" s="84">
        <f>0.7*0.043/0.34</f>
        <v>0.08852941176470586</v>
      </c>
      <c r="I722" s="108">
        <f>IF($H$14=3,IF($J$14=4,'Input-Output'!$E$18*Calculations!H722,0),0)</f>
        <v>0</v>
      </c>
      <c r="J722" s="43" t="s">
        <v>188</v>
      </c>
    </row>
    <row r="723" spans="3:10" ht="15">
      <c r="C723" s="51" t="s">
        <v>79</v>
      </c>
      <c r="D723" s="47"/>
      <c r="E723" s="31" t="s">
        <v>7</v>
      </c>
      <c r="F723" s="31" t="s">
        <v>8</v>
      </c>
      <c r="G723" s="12" t="s">
        <v>9</v>
      </c>
      <c r="H723" s="14">
        <v>0.075</v>
      </c>
      <c r="I723" s="104">
        <f>IF($H$14=4,IF($J$14=2,'Input-Output'!$E$18*Calculations!H723,0),0)</f>
        <v>0</v>
      </c>
      <c r="J723" s="15" t="s">
        <v>187</v>
      </c>
    </row>
    <row r="724" spans="3:10" ht="18">
      <c r="C724" s="51"/>
      <c r="D724" s="47"/>
      <c r="E724" s="31"/>
      <c r="F724" s="31" t="s">
        <v>133</v>
      </c>
      <c r="G724" s="12" t="s">
        <v>9</v>
      </c>
      <c r="H724" s="75">
        <f>H723*0.61</f>
        <v>0.04575</v>
      </c>
      <c r="I724" s="104">
        <f>IF($H$14=4,IF($J$14=2,'Input-Output'!$E$18*Calculations!H724,0),0)</f>
        <v>0</v>
      </c>
      <c r="J724" s="15" t="s">
        <v>187</v>
      </c>
    </row>
    <row r="725" spans="3:10" ht="18">
      <c r="C725" s="51"/>
      <c r="D725" s="47"/>
      <c r="E725" s="31"/>
      <c r="F725" s="31" t="s">
        <v>132</v>
      </c>
      <c r="G725" s="12" t="s">
        <v>9</v>
      </c>
      <c r="H725" s="75">
        <f>H724*0.79</f>
        <v>0.0361425</v>
      </c>
      <c r="I725" s="104">
        <f>IF($H$14=4,IF($J$14=2,'Input-Output'!$E$18*Calculations!H725,0),0)</f>
        <v>0</v>
      </c>
      <c r="J725" s="15" t="s">
        <v>187</v>
      </c>
    </row>
    <row r="726" spans="3:10" ht="15">
      <c r="C726" s="51"/>
      <c r="D726" s="47"/>
      <c r="E726" s="31"/>
      <c r="F726" s="31" t="s">
        <v>18</v>
      </c>
      <c r="G726" s="12" t="s">
        <v>25</v>
      </c>
      <c r="H726" s="14">
        <v>0.0095</v>
      </c>
      <c r="I726" s="104">
        <f>IF($H$14=4,IF($J$14=2,'Input-Output'!$E$18*Calculations!H726,0),0)</f>
        <v>0</v>
      </c>
      <c r="J726" s="15" t="s">
        <v>187</v>
      </c>
    </row>
    <row r="727" spans="3:10" ht="15">
      <c r="C727" s="51"/>
      <c r="D727" s="47"/>
      <c r="E727" s="31"/>
      <c r="F727" s="31" t="s">
        <v>19</v>
      </c>
      <c r="G727" s="12" t="s">
        <v>20</v>
      </c>
      <c r="H727" s="14">
        <v>0.055</v>
      </c>
      <c r="I727" s="104">
        <f>IF($H$14=4,IF($J$14=2,'Input-Output'!$E$18*Calculations!H727,0),0)</f>
        <v>0</v>
      </c>
      <c r="J727" s="15" t="s">
        <v>187</v>
      </c>
    </row>
    <row r="728" spans="3:10" ht="15">
      <c r="C728" s="51"/>
      <c r="D728" s="47"/>
      <c r="E728" s="31"/>
      <c r="F728" s="31" t="s">
        <v>27</v>
      </c>
      <c r="G728" s="12" t="s">
        <v>9</v>
      </c>
      <c r="H728" s="14">
        <v>0.055</v>
      </c>
      <c r="I728" s="104">
        <f>IF($H$14=4,IF($J$14=2,'Input-Output'!$E$18*Calculations!H728,0),0)</f>
        <v>0</v>
      </c>
      <c r="J728" s="15" t="s">
        <v>187</v>
      </c>
    </row>
    <row r="729" spans="3:10" ht="15">
      <c r="C729" s="51"/>
      <c r="D729" s="47"/>
      <c r="E729" s="31"/>
      <c r="F729" s="31" t="s">
        <v>28</v>
      </c>
      <c r="G729" s="12" t="s">
        <v>9</v>
      </c>
      <c r="H729" s="14">
        <v>0.1</v>
      </c>
      <c r="I729" s="104">
        <f>IF($H$14=4,IF($J$14=2,'Input-Output'!$E$18*Calculations!H729,0),0)</f>
        <v>0</v>
      </c>
      <c r="J729" s="15" t="s">
        <v>188</v>
      </c>
    </row>
    <row r="730" spans="3:10" ht="15">
      <c r="C730" s="51"/>
      <c r="D730" s="47"/>
      <c r="E730" s="31"/>
      <c r="F730" s="31" t="s">
        <v>49</v>
      </c>
      <c r="G730" s="12" t="s">
        <v>50</v>
      </c>
      <c r="H730" s="14">
        <v>0.032</v>
      </c>
      <c r="I730" s="107">
        <f>IF($H$14=4,IF($J$14=2,'Input-Output'!$E$18*Calculations!H730,0),0)</f>
        <v>0</v>
      </c>
      <c r="J730" s="102" t="s">
        <v>187</v>
      </c>
    </row>
    <row r="731" spans="3:10" ht="15">
      <c r="C731" s="51"/>
      <c r="D731" s="47"/>
      <c r="E731" s="40"/>
      <c r="F731" s="40" t="s">
        <v>83</v>
      </c>
      <c r="G731" s="41" t="s">
        <v>84</v>
      </c>
      <c r="H731" s="80">
        <v>0.00105</v>
      </c>
      <c r="I731" s="105">
        <f>IF($H$14=4,IF($J$14=2,'Input-Output'!$E$18*Calculations!H731,0),0)</f>
        <v>0</v>
      </c>
      <c r="J731" s="101" t="s">
        <v>188</v>
      </c>
    </row>
    <row r="732" spans="3:10" ht="18">
      <c r="C732" s="51"/>
      <c r="D732" s="47"/>
      <c r="E732" s="44" t="s">
        <v>256</v>
      </c>
      <c r="F732" s="44" t="s">
        <v>18</v>
      </c>
      <c r="G732" s="45" t="s">
        <v>25</v>
      </c>
      <c r="H732" s="46">
        <f>0.0095*QUOTIENT(0.18,0.025)</f>
        <v>0.0665</v>
      </c>
      <c r="I732" s="107">
        <f>IF($H$14=4,IF($J$14=3,'Input-Output'!$E$18*Calculations!H732,0),0)</f>
        <v>0</v>
      </c>
      <c r="J732" s="102" t="s">
        <v>188</v>
      </c>
    </row>
    <row r="733" spans="3:10" ht="15">
      <c r="C733" s="51"/>
      <c r="D733" s="47"/>
      <c r="E733" s="31"/>
      <c r="F733" s="31" t="s">
        <v>49</v>
      </c>
      <c r="G733" s="12" t="s">
        <v>50</v>
      </c>
      <c r="H733" s="75">
        <f>0.032*0.095454545454</f>
        <v>0.0030545454545280004</v>
      </c>
      <c r="I733" s="107">
        <f>IF($H$14=4,IF($J$14=3,'Input-Output'!$E$18*Calculations!H733,0),0)</f>
        <v>0</v>
      </c>
      <c r="J733" s="102" t="s">
        <v>188</v>
      </c>
    </row>
    <row r="734" spans="3:10" ht="18">
      <c r="C734" s="51"/>
      <c r="D734" s="47"/>
      <c r="E734" s="31"/>
      <c r="F734" s="31" t="s">
        <v>141</v>
      </c>
      <c r="G734" s="12" t="s">
        <v>9</v>
      </c>
      <c r="H734" s="75">
        <f>0.1*0.02</f>
        <v>0.002</v>
      </c>
      <c r="I734" s="107">
        <f>IF($H$14=4,IF($J$14=3,'Input-Output'!$E$18*Calculations!H734,0),0)</f>
        <v>0</v>
      </c>
      <c r="J734" s="102" t="s">
        <v>188</v>
      </c>
    </row>
    <row r="735" spans="3:10" ht="15">
      <c r="C735" s="51"/>
      <c r="D735" s="47"/>
      <c r="E735" s="31"/>
      <c r="F735" s="40" t="s">
        <v>19</v>
      </c>
      <c r="G735" s="41" t="s">
        <v>20</v>
      </c>
      <c r="H735" s="42">
        <f>0.055*QUOTIENT(0.11,0.048)</f>
        <v>0.11</v>
      </c>
      <c r="I735" s="105">
        <f>IF($H$14=4,IF($J$14=3,'Input-Output'!$E$18*Calculations!H735,0),0)</f>
        <v>0</v>
      </c>
      <c r="J735" s="101" t="s">
        <v>188</v>
      </c>
    </row>
    <row r="736" spans="3:10" ht="18">
      <c r="C736" s="51"/>
      <c r="D736" s="47"/>
      <c r="E736" s="95" t="s">
        <v>257</v>
      </c>
      <c r="F736" s="95" t="s">
        <v>253</v>
      </c>
      <c r="G736" s="96" t="s">
        <v>9</v>
      </c>
      <c r="H736" s="97">
        <f>0.1*0.2952</f>
        <v>0.029520000000000005</v>
      </c>
      <c r="I736" s="108">
        <f>IF($H$14=4,IF($J$14=5,'Input-Output'!$E$18*Calculations!H736,0),0)</f>
        <v>0</v>
      </c>
      <c r="J736" s="101" t="s">
        <v>188</v>
      </c>
    </row>
    <row r="737" spans="3:10" ht="18">
      <c r="C737" s="51"/>
      <c r="D737" s="47"/>
      <c r="E737" s="31" t="s">
        <v>266</v>
      </c>
      <c r="F737" s="31" t="s">
        <v>27</v>
      </c>
      <c r="G737" s="12" t="s">
        <v>9</v>
      </c>
      <c r="H737" s="75">
        <f>0.055*0.028/0.26</f>
        <v>0.005923076923076923</v>
      </c>
      <c r="I737" s="107">
        <f>IF($H$14=4,IF($J$14=4,'Input-Output'!$E$18*Calculations!H737,0),0)</f>
        <v>0</v>
      </c>
      <c r="J737" s="15" t="s">
        <v>188</v>
      </c>
    </row>
    <row r="738" spans="3:10" ht="15">
      <c r="C738" s="51"/>
      <c r="D738" s="47"/>
      <c r="E738" s="31"/>
      <c r="F738" s="31" t="s">
        <v>28</v>
      </c>
      <c r="G738" s="12" t="s">
        <v>9</v>
      </c>
      <c r="H738" s="76">
        <f>0.1*0.043/0.34</f>
        <v>0.01264705882352941</v>
      </c>
      <c r="I738" s="107">
        <f>IF($H$14=4,IF($J$14=4,'Input-Output'!$E$18*Calculations!H738,0),0)</f>
        <v>0</v>
      </c>
      <c r="J738" s="15" t="s">
        <v>188</v>
      </c>
    </row>
    <row r="739" spans="3:10" ht="15">
      <c r="C739" s="90"/>
      <c r="D739" s="91"/>
      <c r="E739" s="40"/>
      <c r="F739" s="40" t="s">
        <v>49</v>
      </c>
      <c r="G739" s="41" t="s">
        <v>50</v>
      </c>
      <c r="H739" s="88">
        <f>0.032*0.012/0.028</f>
        <v>0.013714285714285714</v>
      </c>
      <c r="I739" s="105">
        <f>IF($H$14=4,IF($J$14=4,'Input-Output'!$E$18*Calculations!H739,0),0)</f>
        <v>0</v>
      </c>
      <c r="J739" s="43" t="s">
        <v>188</v>
      </c>
    </row>
    <row r="740" spans="3:10" ht="15">
      <c r="C740" s="51" t="s">
        <v>80</v>
      </c>
      <c r="D740" s="47"/>
      <c r="E740" s="31" t="s">
        <v>7</v>
      </c>
      <c r="F740" s="31" t="s">
        <v>8</v>
      </c>
      <c r="G740" s="12" t="s">
        <v>9</v>
      </c>
      <c r="H740" s="14">
        <v>0.52</v>
      </c>
      <c r="I740" s="104">
        <f>IF($H$14=5,IF($J$14=2,'Input-Output'!$E$18*Calculations!H740,0),0)</f>
        <v>0</v>
      </c>
      <c r="J740" s="15" t="s">
        <v>189</v>
      </c>
    </row>
    <row r="741" spans="3:10" ht="15">
      <c r="C741" s="51"/>
      <c r="D741" s="47"/>
      <c r="E741" s="31"/>
      <c r="F741" s="31" t="s">
        <v>10</v>
      </c>
      <c r="G741" s="12" t="s">
        <v>9</v>
      </c>
      <c r="H741" s="14">
        <v>0.26</v>
      </c>
      <c r="I741" s="104">
        <f>IF($H$14=5,IF($J$14=2,'Input-Output'!$E$18*Calculations!H741,0),0)</f>
        <v>0</v>
      </c>
      <c r="J741" s="15" t="s">
        <v>188</v>
      </c>
    </row>
    <row r="742" spans="3:10" ht="18">
      <c r="C742" s="51"/>
      <c r="D742" s="47"/>
      <c r="E742" s="31"/>
      <c r="F742" s="31" t="s">
        <v>132</v>
      </c>
      <c r="G742" s="12" t="s">
        <v>9</v>
      </c>
      <c r="H742" s="76">
        <f>H741*0.79</f>
        <v>0.20540000000000003</v>
      </c>
      <c r="I742" s="104">
        <f>IF($H$14=5,IF($J$14=2,'Input-Output'!$E$18*Calculations!H742,0),0)</f>
        <v>0</v>
      </c>
      <c r="J742" s="15" t="s">
        <v>188</v>
      </c>
    </row>
    <row r="743" spans="3:10" ht="15">
      <c r="C743" s="51"/>
      <c r="D743" s="47"/>
      <c r="E743" s="31"/>
      <c r="F743" s="31" t="s">
        <v>23</v>
      </c>
      <c r="G743" s="12" t="s">
        <v>24</v>
      </c>
      <c r="H743" s="76">
        <v>0.0185</v>
      </c>
      <c r="I743" s="104">
        <f>IF($H$14=5,IF($J$14=2,'Input-Output'!$E$18*Calculations!H743,0),0)</f>
        <v>0</v>
      </c>
      <c r="J743" s="15" t="s">
        <v>188</v>
      </c>
    </row>
    <row r="744" spans="3:10" ht="15">
      <c r="C744" s="51"/>
      <c r="D744" s="47"/>
      <c r="E744" s="31"/>
      <c r="F744" s="31" t="s">
        <v>18</v>
      </c>
      <c r="G744" s="12" t="s">
        <v>25</v>
      </c>
      <c r="H744" s="76">
        <v>0.0205</v>
      </c>
      <c r="I744" s="104">
        <f>IF($H$14=5,IF($J$14=2,'Input-Output'!$E$18*Calculations!H744,0),0)</f>
        <v>0</v>
      </c>
      <c r="J744" s="15" t="s">
        <v>187</v>
      </c>
    </row>
    <row r="745" spans="3:10" ht="15">
      <c r="C745" s="51"/>
      <c r="D745" s="47"/>
      <c r="E745" s="31"/>
      <c r="F745" s="31" t="s">
        <v>19</v>
      </c>
      <c r="G745" s="12" t="s">
        <v>20</v>
      </c>
      <c r="H745" s="14">
        <v>0.05</v>
      </c>
      <c r="I745" s="104">
        <f>IF($H$14=5,IF($J$14=2,'Input-Output'!$E$18*Calculations!H745,0),0)</f>
        <v>0</v>
      </c>
      <c r="J745" s="15" t="s">
        <v>189</v>
      </c>
    </row>
    <row r="746" spans="3:10" ht="15">
      <c r="C746" s="51"/>
      <c r="D746" s="47"/>
      <c r="E746" s="31"/>
      <c r="F746" s="31" t="s">
        <v>27</v>
      </c>
      <c r="G746" s="12" t="s">
        <v>9</v>
      </c>
      <c r="H746" s="76">
        <v>0.255</v>
      </c>
      <c r="I746" s="104">
        <f>IF($H$14=5,IF($J$14=2,'Input-Output'!$E$18*Calculations!H746,0),0)</f>
        <v>0</v>
      </c>
      <c r="J746" s="15" t="s">
        <v>189</v>
      </c>
    </row>
    <row r="747" spans="3:10" ht="15">
      <c r="C747" s="51"/>
      <c r="D747" s="47"/>
      <c r="E747" s="31"/>
      <c r="F747" s="31" t="s">
        <v>28</v>
      </c>
      <c r="G747" s="12" t="s">
        <v>9</v>
      </c>
      <c r="H747" s="76">
        <v>0.335</v>
      </c>
      <c r="I747" s="104">
        <f>IF($H$14=5,IF($J$14=2,'Input-Output'!$E$18*Calculations!H747,0),0)</f>
        <v>0</v>
      </c>
      <c r="J747" s="15" t="s">
        <v>186</v>
      </c>
    </row>
    <row r="748" spans="3:10" ht="15">
      <c r="C748" s="51"/>
      <c r="D748" s="47"/>
      <c r="E748" s="31"/>
      <c r="F748" s="31" t="s">
        <v>31</v>
      </c>
      <c r="G748" s="12" t="s">
        <v>32</v>
      </c>
      <c r="H748" s="14">
        <v>0.005</v>
      </c>
      <c r="I748" s="104">
        <f>IF($H$14=5,IF($J$14=2,'Input-Output'!$E$18*Calculations!H748,0),0)</f>
        <v>0</v>
      </c>
      <c r="J748" s="15" t="s">
        <v>187</v>
      </c>
    </row>
    <row r="749" spans="3:10" ht="15">
      <c r="C749" s="51"/>
      <c r="D749" s="47"/>
      <c r="E749" s="31"/>
      <c r="F749" s="31" t="s">
        <v>33</v>
      </c>
      <c r="G749" s="12" t="s">
        <v>34</v>
      </c>
      <c r="H749" s="14">
        <v>0.0055</v>
      </c>
      <c r="I749" s="104">
        <f>IF($H$14=5,IF($J$14=2,'Input-Output'!$E$18*Calculations!H749,0),0)</f>
        <v>0</v>
      </c>
      <c r="J749" s="15" t="s">
        <v>187</v>
      </c>
    </row>
    <row r="750" spans="3:10" ht="15">
      <c r="C750" s="51"/>
      <c r="D750" s="47"/>
      <c r="E750" s="31"/>
      <c r="F750" s="31" t="s">
        <v>37</v>
      </c>
      <c r="G750" s="12" t="s">
        <v>38</v>
      </c>
      <c r="H750" s="14">
        <v>0.16</v>
      </c>
      <c r="I750" s="104">
        <f>IF($H$14=5,IF($J$14=2,'Input-Output'!$E$18*Calculations!H750,0),0)</f>
        <v>0</v>
      </c>
      <c r="J750" s="15" t="s">
        <v>187</v>
      </c>
    </row>
    <row r="751" spans="3:10" ht="15">
      <c r="C751" s="51"/>
      <c r="D751" s="47"/>
      <c r="E751" s="31"/>
      <c r="F751" s="31" t="s">
        <v>41</v>
      </c>
      <c r="G751" s="12" t="s">
        <v>42</v>
      </c>
      <c r="H751" s="14">
        <v>0.06</v>
      </c>
      <c r="I751" s="104">
        <f>IF($H$14=5,IF($J$14=2,'Input-Output'!$E$18*Calculations!H751,0),0)</f>
        <v>0</v>
      </c>
      <c r="J751" s="15" t="s">
        <v>187</v>
      </c>
    </row>
    <row r="752" spans="3:10" ht="15">
      <c r="C752" s="51"/>
      <c r="D752" s="47"/>
      <c r="E752" s="31"/>
      <c r="F752" s="31" t="s">
        <v>49</v>
      </c>
      <c r="G752" s="12" t="s">
        <v>50</v>
      </c>
      <c r="H752" s="14">
        <v>0.028</v>
      </c>
      <c r="I752" s="104">
        <f>IF($H$14=5,IF($J$14=2,'Input-Output'!$E$18*Calculations!H752,0),0)</f>
        <v>0</v>
      </c>
      <c r="J752" s="15" t="s">
        <v>189</v>
      </c>
    </row>
    <row r="753" spans="3:10" ht="15">
      <c r="C753" s="51"/>
      <c r="D753" s="47"/>
      <c r="E753" s="31"/>
      <c r="F753" s="31" t="s">
        <v>83</v>
      </c>
      <c r="G753" s="12" t="s">
        <v>84</v>
      </c>
      <c r="H753" s="14">
        <v>0.00055</v>
      </c>
      <c r="I753" s="104">
        <f>IF($H$14=5,IF($J$14=2,'Input-Output'!$E$18*Calculations!H753,0),0)</f>
        <v>0</v>
      </c>
      <c r="J753" s="15" t="s">
        <v>187</v>
      </c>
    </row>
    <row r="754" spans="3:10" ht="15">
      <c r="C754" s="51"/>
      <c r="D754" s="47"/>
      <c r="E754" s="31"/>
      <c r="F754" s="31" t="s">
        <v>53</v>
      </c>
      <c r="G754" s="12" t="s">
        <v>54</v>
      </c>
      <c r="H754" s="14">
        <v>0.125</v>
      </c>
      <c r="I754" s="104">
        <f>IF($H$14=5,IF($J$14=2,'Input-Output'!$E$18*Calculations!H754,0),0)</f>
        <v>0</v>
      </c>
      <c r="J754" s="15" t="s">
        <v>187</v>
      </c>
    </row>
    <row r="755" spans="3:10" ht="15">
      <c r="C755" s="51"/>
      <c r="D755" s="47"/>
      <c r="E755" s="40"/>
      <c r="F755" s="40" t="s">
        <v>65</v>
      </c>
      <c r="G755" s="41" t="s">
        <v>66</v>
      </c>
      <c r="H755" s="42">
        <v>0.0075</v>
      </c>
      <c r="I755" s="105">
        <f>IF($H$14=5,IF($J$14=2,'Input-Output'!$E$18*Calculations!H755,0),0)</f>
        <v>0</v>
      </c>
      <c r="J755" s="101" t="s">
        <v>186</v>
      </c>
    </row>
    <row r="756" spans="3:10" ht="15">
      <c r="C756" s="51"/>
      <c r="D756" s="47"/>
      <c r="E756" s="31" t="s">
        <v>12</v>
      </c>
      <c r="F756" s="31" t="s">
        <v>8</v>
      </c>
      <c r="G756" s="12" t="s">
        <v>9</v>
      </c>
      <c r="H756" s="14">
        <v>0.071</v>
      </c>
      <c r="I756" s="104">
        <f>IF($H$14=5,IF($J$14=3,'Input-Output'!$E$18*Calculations!H756,0),0)</f>
        <v>0</v>
      </c>
      <c r="J756" s="15" t="s">
        <v>187</v>
      </c>
    </row>
    <row r="757" spans="3:10" ht="18">
      <c r="C757" s="51"/>
      <c r="D757" s="47"/>
      <c r="E757" s="31"/>
      <c r="F757" s="31" t="s">
        <v>133</v>
      </c>
      <c r="G757" s="12" t="s">
        <v>9</v>
      </c>
      <c r="H757" s="75">
        <f>H756*0.61</f>
        <v>0.043309999999999994</v>
      </c>
      <c r="I757" s="104">
        <f>IF($H$14=5,IF($J$14=3,'Input-Output'!$E$18*Calculations!H757,0),0)</f>
        <v>0</v>
      </c>
      <c r="J757" s="15" t="s">
        <v>187</v>
      </c>
    </row>
    <row r="758" spans="3:10" ht="18">
      <c r="C758" s="51"/>
      <c r="D758" s="47"/>
      <c r="E758" s="31"/>
      <c r="F758" s="31" t="s">
        <v>132</v>
      </c>
      <c r="G758" s="12" t="s">
        <v>9</v>
      </c>
      <c r="H758" s="75">
        <f>H757*0.79</f>
        <v>0.0342149</v>
      </c>
      <c r="I758" s="104">
        <f>IF($H$14=5,IF($J$14=3,'Input-Output'!$E$18*Calculations!H758,0),0)</f>
        <v>0</v>
      </c>
      <c r="J758" s="15" t="s">
        <v>187</v>
      </c>
    </row>
    <row r="759" spans="3:10" ht="15">
      <c r="C759" s="51"/>
      <c r="D759" s="47"/>
      <c r="E759" s="31"/>
      <c r="F759" s="31" t="s">
        <v>18</v>
      </c>
      <c r="G759" s="12" t="s">
        <v>25</v>
      </c>
      <c r="H759" s="14">
        <v>0.135</v>
      </c>
      <c r="I759" s="104">
        <f>IF($H$14=5,IF($J$14=3,'Input-Output'!$E$18*Calculations!H759,0),0)</f>
        <v>0</v>
      </c>
      <c r="J759" s="15" t="s">
        <v>187</v>
      </c>
    </row>
    <row r="760" spans="3:10" ht="15">
      <c r="C760" s="51"/>
      <c r="D760" s="47"/>
      <c r="E760" s="31"/>
      <c r="F760" s="31" t="s">
        <v>19</v>
      </c>
      <c r="G760" s="12" t="s">
        <v>20</v>
      </c>
      <c r="H760" s="14">
        <v>0.11</v>
      </c>
      <c r="I760" s="104">
        <f>IF($H$14=5,IF($J$14=3,'Input-Output'!$E$18*Calculations!H760,0),0)</f>
        <v>0</v>
      </c>
      <c r="J760" s="15" t="s">
        <v>187</v>
      </c>
    </row>
    <row r="761" spans="3:10" ht="15">
      <c r="C761" s="51"/>
      <c r="D761" s="47"/>
      <c r="E761" s="31"/>
      <c r="F761" s="31" t="s">
        <v>21</v>
      </c>
      <c r="G761" s="12" t="s">
        <v>22</v>
      </c>
      <c r="H761" s="14">
        <v>20.15</v>
      </c>
      <c r="I761" s="104">
        <f>IF($H$14=5,IF($J$14=3,'Input-Output'!$E$18*Calculations!H761,0),0)</f>
        <v>0</v>
      </c>
      <c r="J761" s="15" t="s">
        <v>186</v>
      </c>
    </row>
    <row r="762" spans="3:10" ht="15">
      <c r="C762" s="51"/>
      <c r="D762" s="47"/>
      <c r="E762" s="31"/>
      <c r="F762" s="31" t="s">
        <v>27</v>
      </c>
      <c r="G762" s="12" t="s">
        <v>9</v>
      </c>
      <c r="H762" s="14">
        <v>0.0125</v>
      </c>
      <c r="I762" s="104">
        <f>IF($H$14=5,IF($J$14=3,'Input-Output'!$E$18*Calculations!H762,0),0)</f>
        <v>0</v>
      </c>
      <c r="J762" s="15" t="s">
        <v>186</v>
      </c>
    </row>
    <row r="763" spans="3:10" ht="15">
      <c r="C763" s="51"/>
      <c r="D763" s="47"/>
      <c r="E763" s="31"/>
      <c r="F763" s="31" t="s">
        <v>28</v>
      </c>
      <c r="G763" s="12" t="s">
        <v>9</v>
      </c>
      <c r="H763" s="14">
        <v>0.0135</v>
      </c>
      <c r="I763" s="104">
        <f>IF($H$14=5,IF($J$14=3,'Input-Output'!$E$18*Calculations!H763,0),0)</f>
        <v>0</v>
      </c>
      <c r="J763" s="15" t="s">
        <v>187</v>
      </c>
    </row>
    <row r="764" spans="3:10" ht="15">
      <c r="C764" s="51"/>
      <c r="D764" s="47"/>
      <c r="E764" s="31"/>
      <c r="F764" s="31" t="s">
        <v>33</v>
      </c>
      <c r="G764" s="12" t="s">
        <v>34</v>
      </c>
      <c r="H764" s="14">
        <v>0.00355</v>
      </c>
      <c r="I764" s="104">
        <f>IF($H$14=5,IF($J$14=3,'Input-Output'!$E$18*Calculations!H764,0),0)</f>
        <v>0</v>
      </c>
      <c r="J764" s="15" t="s">
        <v>187</v>
      </c>
    </row>
    <row r="765" spans="3:10" ht="15">
      <c r="C765" s="51"/>
      <c r="D765" s="47"/>
      <c r="E765" s="31"/>
      <c r="F765" s="31" t="s">
        <v>49</v>
      </c>
      <c r="G765" s="12" t="s">
        <v>50</v>
      </c>
      <c r="H765" s="14">
        <v>0.0019</v>
      </c>
      <c r="I765" s="104">
        <f>IF($H$14=5,IF($J$14=3,'Input-Output'!$E$18*Calculations!H765,0),0)</f>
        <v>0</v>
      </c>
      <c r="J765" s="15" t="s">
        <v>186</v>
      </c>
    </row>
    <row r="766" spans="3:10" ht="15">
      <c r="C766" s="51"/>
      <c r="D766" s="47"/>
      <c r="E766" s="31"/>
      <c r="F766" s="31" t="s">
        <v>83</v>
      </c>
      <c r="G766" s="12" t="s">
        <v>84</v>
      </c>
      <c r="H766" s="79">
        <f>0.5*0.0000097</f>
        <v>4.85E-06</v>
      </c>
      <c r="I766" s="104">
        <f>IF($H$14=5,IF($J$14=3,'Input-Output'!$E$18*Calculations!H766,0),0)</f>
        <v>0</v>
      </c>
      <c r="J766" s="15" t="s">
        <v>188</v>
      </c>
    </row>
    <row r="767" spans="3:10" ht="15">
      <c r="C767" s="51"/>
      <c r="D767" s="47"/>
      <c r="E767" s="31"/>
      <c r="F767" s="31" t="s">
        <v>53</v>
      </c>
      <c r="G767" s="12" t="s">
        <v>54</v>
      </c>
      <c r="H767" s="14">
        <v>0.0031</v>
      </c>
      <c r="I767" s="104">
        <f>IF($H$14=5,IF($J$14=3,'Input-Output'!$E$18*Calculations!H767,0),0)</f>
        <v>0</v>
      </c>
      <c r="J767" s="15" t="s">
        <v>187</v>
      </c>
    </row>
    <row r="768" spans="3:10" ht="15">
      <c r="C768" s="51"/>
      <c r="D768" s="47"/>
      <c r="E768" s="40"/>
      <c r="F768" s="40" t="s">
        <v>65</v>
      </c>
      <c r="G768" s="41" t="s">
        <v>66</v>
      </c>
      <c r="H768" s="42">
        <v>0.00435</v>
      </c>
      <c r="I768" s="105">
        <f>IF($H$14=5,IF($J$14=3,'Input-Output'!$E$18*Calculations!H768,0),0)</f>
        <v>0</v>
      </c>
      <c r="J768" s="101" t="s">
        <v>187</v>
      </c>
    </row>
    <row r="769" spans="3:10" ht="18">
      <c r="C769" s="51"/>
      <c r="D769" s="47"/>
      <c r="E769" s="95" t="s">
        <v>260</v>
      </c>
      <c r="F769" s="95" t="s">
        <v>253</v>
      </c>
      <c r="G769" s="96" t="s">
        <v>9</v>
      </c>
      <c r="H769" s="98">
        <f>0.34*0.2952</f>
        <v>0.10036800000000001</v>
      </c>
      <c r="I769" s="105">
        <f>IF($H$14=5,IF($J$14=5,'Input-Output'!$E$18*Calculations!H769,0),0)</f>
        <v>0</v>
      </c>
      <c r="J769" s="103" t="s">
        <v>188</v>
      </c>
    </row>
    <row r="770" spans="3:10" ht="15">
      <c r="C770" s="51"/>
      <c r="D770" s="47"/>
      <c r="E770" s="31" t="s">
        <v>85</v>
      </c>
      <c r="F770" s="31" t="s">
        <v>27</v>
      </c>
      <c r="G770" s="12" t="s">
        <v>9</v>
      </c>
      <c r="H770" s="14">
        <v>0.028</v>
      </c>
      <c r="I770" s="107">
        <f>IF($H$14=5,IF($J$14=4,'Input-Output'!$E$18*Calculations!H770,0),0)</f>
        <v>0</v>
      </c>
      <c r="J770" s="15" t="s">
        <v>188</v>
      </c>
    </row>
    <row r="771" spans="3:10" ht="15">
      <c r="C771" s="51"/>
      <c r="D771" s="47"/>
      <c r="E771" s="31"/>
      <c r="F771" s="31" t="s">
        <v>28</v>
      </c>
      <c r="G771" s="12" t="s">
        <v>9</v>
      </c>
      <c r="H771" s="14">
        <v>0.043</v>
      </c>
      <c r="I771" s="107">
        <f>IF($H$14=5,IF($J$14=4,'Input-Output'!$E$18*Calculations!H771,0),0)</f>
        <v>0</v>
      </c>
      <c r="J771" s="15" t="s">
        <v>188</v>
      </c>
    </row>
    <row r="772" spans="3:10" ht="15">
      <c r="C772" s="51"/>
      <c r="D772" s="47"/>
      <c r="E772" s="31"/>
      <c r="F772" s="31" t="s">
        <v>33</v>
      </c>
      <c r="G772" s="12" t="s">
        <v>34</v>
      </c>
      <c r="H772" s="14">
        <v>0.0031</v>
      </c>
      <c r="I772" s="107">
        <f>IF($H$14=5,IF($J$14=4,'Input-Output'!$E$18*Calculations!H772,0),0)</f>
        <v>0</v>
      </c>
      <c r="J772" s="15" t="s">
        <v>188</v>
      </c>
    </row>
    <row r="773" spans="3:10" ht="15">
      <c r="C773" s="51"/>
      <c r="D773" s="47"/>
      <c r="E773" s="31"/>
      <c r="F773" s="31" t="s">
        <v>49</v>
      </c>
      <c r="G773" s="12" t="s">
        <v>50</v>
      </c>
      <c r="H773" s="14">
        <v>0.012</v>
      </c>
      <c r="I773" s="107">
        <f>IF($H$14=5,IF($J$14=4,'Input-Output'!$E$18*Calculations!H773,0),0)</f>
        <v>0</v>
      </c>
      <c r="J773" s="15" t="s">
        <v>188</v>
      </c>
    </row>
    <row r="774" spans="3:10" ht="15">
      <c r="C774" s="51"/>
      <c r="D774" s="47"/>
      <c r="E774" s="31"/>
      <c r="F774" s="31" t="s">
        <v>53</v>
      </c>
      <c r="G774" s="12" t="s">
        <v>54</v>
      </c>
      <c r="H774" s="14">
        <v>0.02</v>
      </c>
      <c r="I774" s="107">
        <f>IF($H$14=5,IF($J$14=4,'Input-Output'!$E$18*Calculations!H774,0),0)</f>
        <v>0</v>
      </c>
      <c r="J774" s="15" t="s">
        <v>188</v>
      </c>
    </row>
    <row r="775" spans="3:10" ht="15.75" thickBot="1">
      <c r="C775" s="99"/>
      <c r="D775" s="94"/>
      <c r="E775" s="32"/>
      <c r="F775" s="32" t="s">
        <v>65</v>
      </c>
      <c r="G775" s="16" t="s">
        <v>66</v>
      </c>
      <c r="H775" s="18">
        <v>0.0034</v>
      </c>
      <c r="I775" s="109">
        <f>IF($H$14=5,IF($J$14=4,'Input-Output'!$E$18*Calculations!H775,0),0)</f>
        <v>0</v>
      </c>
      <c r="J775" s="19" t="s">
        <v>188</v>
      </c>
    </row>
    <row r="776" ht="18">
      <c r="C776" s="6" t="s">
        <v>162</v>
      </c>
    </row>
    <row r="777" spans="3:4" ht="18">
      <c r="C777" s="33" t="s">
        <v>157</v>
      </c>
      <c r="D777" s="35" t="s">
        <v>161</v>
      </c>
    </row>
    <row r="778" spans="3:4" ht="18">
      <c r="C778" s="33" t="s">
        <v>121</v>
      </c>
      <c r="D778" s="35" t="s">
        <v>163</v>
      </c>
    </row>
    <row r="779" spans="3:4" ht="15">
      <c r="C779" s="33" t="s">
        <v>121</v>
      </c>
      <c r="D779" s="34">
        <f>10000*0.06</f>
        <v>600</v>
      </c>
    </row>
    <row r="780" spans="3:4" ht="15">
      <c r="C780" s="33"/>
      <c r="D780" s="34"/>
    </row>
    <row r="781" spans="3:10" ht="51" customHeight="1">
      <c r="C781" s="279" t="s">
        <v>254</v>
      </c>
      <c r="D781" s="279"/>
      <c r="E781" s="279"/>
      <c r="F781" s="279"/>
      <c r="G781" s="279"/>
      <c r="H781" s="279"/>
      <c r="I781" s="279"/>
      <c r="J781" s="279"/>
    </row>
    <row r="782" spans="3:10" ht="51" customHeight="1">
      <c r="C782" s="279" t="s">
        <v>255</v>
      </c>
      <c r="D782" s="279"/>
      <c r="E782" s="279"/>
      <c r="F782" s="279"/>
      <c r="G782" s="279"/>
      <c r="H782" s="279"/>
      <c r="I782" s="279"/>
      <c r="J782" s="279"/>
    </row>
    <row r="783" spans="3:10" ht="51" customHeight="1">
      <c r="C783" s="279" t="s">
        <v>258</v>
      </c>
      <c r="D783" s="279"/>
      <c r="E783" s="279"/>
      <c r="F783" s="279"/>
      <c r="G783" s="279"/>
      <c r="H783" s="279"/>
      <c r="I783" s="279"/>
      <c r="J783" s="279"/>
    </row>
    <row r="784" spans="3:10" ht="51" customHeight="1">
      <c r="C784" s="279" t="s">
        <v>259</v>
      </c>
      <c r="D784" s="279"/>
      <c r="E784" s="279"/>
      <c r="F784" s="279"/>
      <c r="G784" s="279"/>
      <c r="H784" s="279"/>
      <c r="I784" s="279"/>
      <c r="J784" s="279"/>
    </row>
    <row r="785" spans="3:10" ht="51" customHeight="1">
      <c r="C785" s="279" t="s">
        <v>262</v>
      </c>
      <c r="D785" s="279"/>
      <c r="E785" s="279"/>
      <c r="F785" s="279"/>
      <c r="G785" s="279"/>
      <c r="H785" s="279"/>
      <c r="I785" s="279"/>
      <c r="J785" s="279"/>
    </row>
    <row r="786" spans="3:10" ht="51" customHeight="1">
      <c r="C786" s="279" t="s">
        <v>264</v>
      </c>
      <c r="D786" s="279"/>
      <c r="E786" s="279"/>
      <c r="F786" s="279"/>
      <c r="G786" s="279"/>
      <c r="H786" s="279"/>
      <c r="I786" s="279"/>
      <c r="J786" s="279"/>
    </row>
    <row r="787" spans="3:10" ht="51" customHeight="1">
      <c r="C787" s="279" t="s">
        <v>265</v>
      </c>
      <c r="D787" s="279"/>
      <c r="E787" s="279"/>
      <c r="F787" s="279"/>
      <c r="G787" s="279"/>
      <c r="H787" s="279"/>
      <c r="I787" s="279"/>
      <c r="J787" s="279"/>
    </row>
    <row r="788" spans="3:10" ht="51" customHeight="1">
      <c r="C788" s="279" t="s">
        <v>267</v>
      </c>
      <c r="D788" s="279"/>
      <c r="E788" s="279"/>
      <c r="F788" s="279"/>
      <c r="G788" s="279"/>
      <c r="H788" s="279"/>
      <c r="I788" s="279"/>
      <c r="J788" s="279"/>
    </row>
    <row r="790" ht="15.75"/>
    <row r="791" ht="15.75">
      <c r="C791" s="78"/>
    </row>
    <row r="792" ht="15.75">
      <c r="C792" s="78"/>
    </row>
    <row r="793" spans="3:11" ht="15.75">
      <c r="C793" s="78"/>
      <c r="K793" s="82"/>
    </row>
    <row r="794" ht="15">
      <c r="C794" s="78"/>
    </row>
    <row r="795" spans="3:13" ht="35.25" customHeight="1">
      <c r="C795" s="78"/>
      <c r="J795" s="82"/>
      <c r="L795" s="82"/>
      <c r="M795" s="82"/>
    </row>
    <row r="796" spans="3:9" ht="15">
      <c r="C796" s="82"/>
      <c r="D796" s="82"/>
      <c r="E796" s="82"/>
      <c r="F796" s="82"/>
      <c r="G796" s="82"/>
      <c r="H796" s="82"/>
      <c r="I796" s="82"/>
    </row>
  </sheetData>
  <sheetProtection sheet="1"/>
  <mergeCells count="70">
    <mergeCell ref="C5:F5"/>
    <mergeCell ref="C6:F6"/>
    <mergeCell ref="C781:J781"/>
    <mergeCell ref="C669:I669"/>
    <mergeCell ref="E457:E460"/>
    <mergeCell ref="E472:E475"/>
    <mergeCell ref="E462:E465"/>
    <mergeCell ref="E477:E480"/>
    <mergeCell ref="E487:E490"/>
    <mergeCell ref="E492:E495"/>
    <mergeCell ref="C667:I667"/>
    <mergeCell ref="C656:I656"/>
    <mergeCell ref="C657:I657"/>
    <mergeCell ref="C658:I658"/>
    <mergeCell ref="C659:I659"/>
    <mergeCell ref="C660:I660"/>
    <mergeCell ref="C661:I661"/>
    <mergeCell ref="C655:I655"/>
    <mergeCell ref="C665:I665"/>
    <mergeCell ref="C664:I664"/>
    <mergeCell ref="C666:I666"/>
    <mergeCell ref="C662:I662"/>
    <mergeCell ref="C663:I663"/>
    <mergeCell ref="E467:E470"/>
    <mergeCell ref="C653:I653"/>
    <mergeCell ref="C654:I654"/>
    <mergeCell ref="C649:I649"/>
    <mergeCell ref="C646:I646"/>
    <mergeCell ref="C652:I652"/>
    <mergeCell ref="F11:G11"/>
    <mergeCell ref="F12:G12"/>
    <mergeCell ref="F13:G13"/>
    <mergeCell ref="F18:G18"/>
    <mergeCell ref="F17:G17"/>
    <mergeCell ref="H18:I18"/>
    <mergeCell ref="H9:I9"/>
    <mergeCell ref="H10:I10"/>
    <mergeCell ref="H11:I11"/>
    <mergeCell ref="H12:I12"/>
    <mergeCell ref="H13:I13"/>
    <mergeCell ref="H14:I14"/>
    <mergeCell ref="F10:G10"/>
    <mergeCell ref="C1:D1"/>
    <mergeCell ref="H16:I16"/>
    <mergeCell ref="H17:I17"/>
    <mergeCell ref="H15:I15"/>
    <mergeCell ref="F14:G14"/>
    <mergeCell ref="F15:G15"/>
    <mergeCell ref="F8:G8"/>
    <mergeCell ref="F9:G9"/>
    <mergeCell ref="F16:G16"/>
    <mergeCell ref="H8:I8"/>
    <mergeCell ref="C672:I672"/>
    <mergeCell ref="C673:I674"/>
    <mergeCell ref="E497:E500"/>
    <mergeCell ref="E482:E485"/>
    <mergeCell ref="C648:I648"/>
    <mergeCell ref="C647:I647"/>
    <mergeCell ref="C650:I650"/>
    <mergeCell ref="C668:I668"/>
    <mergeCell ref="C651:I651"/>
    <mergeCell ref="C670:I670"/>
    <mergeCell ref="C671:I671"/>
    <mergeCell ref="C788:J788"/>
    <mergeCell ref="C782:J782"/>
    <mergeCell ref="C783:J783"/>
    <mergeCell ref="C784:J784"/>
    <mergeCell ref="C785:J785"/>
    <mergeCell ref="C786:J786"/>
    <mergeCell ref="C787:J78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3" tint="-0.4999699890613556"/>
  </sheetPr>
  <dimension ref="A1:D43"/>
  <sheetViews>
    <sheetView zoomScalePageLayoutView="0" workbookViewId="0" topLeftCell="A1">
      <selection activeCell="A1" sqref="A1"/>
    </sheetView>
  </sheetViews>
  <sheetFormatPr defaultColWidth="9.140625" defaultRowHeight="15"/>
  <cols>
    <col min="1" max="1" width="8.421875" style="160" customWidth="1"/>
    <col min="2" max="2" width="16.7109375" style="160" customWidth="1"/>
    <col min="3" max="3" width="85.421875" style="3" customWidth="1"/>
    <col min="4" max="4" width="101.421875" style="3" customWidth="1"/>
    <col min="5" max="16384" width="9.140625" style="3" customWidth="1"/>
  </cols>
  <sheetData>
    <row r="1" spans="1:4" ht="46.5" customHeight="1">
      <c r="A1" s="178"/>
      <c r="B1" s="178"/>
      <c r="C1" s="301"/>
      <c r="D1" s="301"/>
    </row>
    <row r="2" spans="1:3" ht="14.25">
      <c r="A2" s="161"/>
      <c r="B2" s="161"/>
      <c r="C2" s="53" t="s">
        <v>171</v>
      </c>
    </row>
    <row r="3" spans="1:3" ht="19.5" customHeight="1">
      <c r="A3" s="161"/>
      <c r="B3" s="161"/>
      <c r="C3" s="231" t="str">
        <f>Instructions!C4</f>
        <v>Version 1.3, Last Updated: June 14, 2013 AK &amp; ZI</v>
      </c>
    </row>
    <row r="4" spans="1:2" ht="15" thickBot="1">
      <c r="A4" s="163"/>
      <c r="B4" s="163"/>
    </row>
    <row r="5" spans="1:4" ht="36" customHeight="1" thickBot="1">
      <c r="A5" s="162"/>
      <c r="B5" s="162"/>
      <c r="C5" s="128" t="s">
        <v>286</v>
      </c>
      <c r="D5" s="74"/>
    </row>
    <row r="6" spans="1:4" ht="16.5" thickBot="1">
      <c r="A6" s="163"/>
      <c r="B6" s="163"/>
      <c r="C6" s="129"/>
      <c r="D6" s="74"/>
    </row>
    <row r="7" spans="1:3" ht="33" customHeight="1">
      <c r="A7" s="163"/>
      <c r="B7" s="163"/>
      <c r="C7" s="221" t="s">
        <v>176</v>
      </c>
    </row>
    <row r="8" spans="1:3" ht="15">
      <c r="A8" s="163"/>
      <c r="B8" s="163"/>
      <c r="C8" s="222" t="s">
        <v>177</v>
      </c>
    </row>
    <row r="9" spans="1:3" ht="31.5">
      <c r="A9" s="163"/>
      <c r="B9" s="163"/>
      <c r="C9" s="223" t="s">
        <v>178</v>
      </c>
    </row>
    <row r="10" spans="1:3" ht="31.5">
      <c r="A10" s="163"/>
      <c r="B10" s="163"/>
      <c r="C10" s="222" t="s">
        <v>179</v>
      </c>
    </row>
    <row r="11" ht="15.75">
      <c r="C11" s="223" t="s">
        <v>180</v>
      </c>
    </row>
    <row r="12" ht="31.5">
      <c r="C12" s="222" t="s">
        <v>181</v>
      </c>
    </row>
    <row r="13" ht="15.75">
      <c r="C13" s="223" t="s">
        <v>182</v>
      </c>
    </row>
    <row r="14" ht="15.75">
      <c r="C14" s="224" t="s">
        <v>183</v>
      </c>
    </row>
    <row r="15" ht="30.75">
      <c r="C15" s="225" t="s">
        <v>174</v>
      </c>
    </row>
    <row r="16" ht="30.75">
      <c r="C16" s="226" t="s">
        <v>175</v>
      </c>
    </row>
    <row r="17" ht="46.5">
      <c r="C17" s="225" t="s">
        <v>172</v>
      </c>
    </row>
    <row r="18" ht="15">
      <c r="C18" s="226" t="s">
        <v>173</v>
      </c>
    </row>
    <row r="19" ht="15.75" thickBot="1">
      <c r="C19" s="227"/>
    </row>
    <row r="20" ht="15">
      <c r="C20" s="179"/>
    </row>
    <row r="21" ht="21" thickBot="1">
      <c r="C21" s="180" t="s">
        <v>297</v>
      </c>
    </row>
    <row r="22" ht="30.75">
      <c r="C22" s="236" t="s">
        <v>334</v>
      </c>
    </row>
    <row r="23" ht="62.25">
      <c r="C23" s="237" t="s">
        <v>335</v>
      </c>
    </row>
    <row r="24" ht="46.5">
      <c r="C24" s="237" t="s">
        <v>336</v>
      </c>
    </row>
    <row r="25" ht="31.5" thickBot="1">
      <c r="C25" s="238" t="s">
        <v>337</v>
      </c>
    </row>
    <row r="26" spans="1:3" s="241" customFormat="1" ht="15">
      <c r="A26" s="239"/>
      <c r="B26" s="239"/>
      <c r="C26" s="240" t="s">
        <v>338</v>
      </c>
    </row>
    <row r="27" ht="14.25">
      <c r="C27" s="181"/>
    </row>
    <row r="28" ht="33.75" customHeight="1">
      <c r="C28" s="181"/>
    </row>
    <row r="29" ht="15">
      <c r="C29" s="181"/>
    </row>
    <row r="30" ht="14.25">
      <c r="C30" s="181"/>
    </row>
    <row r="31" ht="15">
      <c r="C31" s="157" t="s">
        <v>291</v>
      </c>
    </row>
    <row r="32" ht="15.75" thickBot="1">
      <c r="C32" s="130"/>
    </row>
    <row r="33" ht="81" thickBot="1">
      <c r="C33" s="158" t="s">
        <v>292</v>
      </c>
    </row>
    <row r="34" ht="14.25">
      <c r="C34" s="131"/>
    </row>
    <row r="35" ht="14.25">
      <c r="C35" s="131"/>
    </row>
    <row r="36" ht="14.25">
      <c r="C36" s="131"/>
    </row>
    <row r="37" ht="14.25">
      <c r="C37" s="131"/>
    </row>
    <row r="38" ht="14.25">
      <c r="C38" s="131"/>
    </row>
    <row r="39" ht="14.25">
      <c r="C39" s="131"/>
    </row>
    <row r="40" ht="14.25">
      <c r="C40" s="131"/>
    </row>
    <row r="41" ht="14.25">
      <c r="C41" s="131"/>
    </row>
    <row r="43" ht="14.25">
      <c r="C43" s="144"/>
    </row>
  </sheetData>
  <sheetProtection sheet="1"/>
  <mergeCells count="1">
    <mergeCell ref="C1:D1"/>
  </mergeCells>
  <hyperlinks>
    <hyperlink ref="C18" r:id="rId1" display="http://www.epa.gov/ttn/chief/ap42/ch09/final/c9s10-1b.pdf"/>
    <hyperlink ref="C16" r:id="rId2" display="http://www.arb.ca.gov/app/emsinv/emseic_query.php?F_YR=2008&amp;F_DIV=-4&amp;F_SEASON=A&amp;SP=2009&amp;SPN=2009_Almanac&amp;F_AREA=CA&amp;F_EICSUM=450"/>
    <hyperlink ref="C8" r:id="rId3" display="http://www.epa.gov/ttn/chief/ap42/ch10/final/c10s06-1.pdf"/>
    <hyperlink ref="C10" r:id="rId4" display="http://www.bc.com/dms/wood/plywood/msds/Formadehyde-APAdocument2002.pdf"/>
    <hyperlink ref="C12" r:id="rId5" display="http://www2.basf.us/urethanechemicals/kun_chemicals_mdi_prod_data_shee.html"/>
    <hyperlink ref="C14" r:id="rId6" display="http://www.ucp.ru/en/customers/products/himprir/fenolsmola/"/>
    <hyperlink ref="C26" r:id="rId7" display="1For details refer to the Environmental Reporting and Disclosure Bylaw available at the ChemTRAC website"/>
  </hyperlinks>
  <printOptions/>
  <pageMargins left="0.7" right="0.7" top="0.75" bottom="0.75" header="0.3" footer="0.3"/>
  <pageSetup horizontalDpi="600" verticalDpi="600" orientation="portrait"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McDonald</dc:creator>
  <cp:keywords/>
  <dc:description/>
  <cp:lastModifiedBy>bmohamme</cp:lastModifiedBy>
  <dcterms:created xsi:type="dcterms:W3CDTF">2009-06-15T19:21:14Z</dcterms:created>
  <dcterms:modified xsi:type="dcterms:W3CDTF">2014-03-20T21:33:37Z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