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6" windowWidth="12120" windowHeight="8412" activeTab="0"/>
  </bookViews>
  <sheets>
    <sheet name="Instructions" sheetId="1" r:id="rId1"/>
    <sheet name="Input-Output" sheetId="2" r:id="rId2"/>
    <sheet name="Calculations" sheetId="3" r:id="rId3"/>
    <sheet name="References" sheetId="4" r:id="rId4"/>
  </sheets>
  <externalReferences>
    <externalReference r:id="rId7"/>
  </externalReferences>
  <definedNames>
    <definedName name="control">'Calculations'!$G$49:$G$52</definedName>
    <definedName name="Dryers">'Calculations'!$C$55:$C$59</definedName>
    <definedName name="Electrode">'[1]Calculations'!$A$30:$A$79</definedName>
    <definedName name="_xlnm.Print_Area" localSheetId="1">'Input-Output'!$C$3:$J$45</definedName>
    <definedName name="_xlnm.Print_Area" localSheetId="0">'Instructions'!$C$1:$D$33</definedName>
    <definedName name="Process">'[1]Calculations'!$A$20:$A$27</definedName>
    <definedName name="products">'Calculations'!$E$55:$E$58</definedName>
    <definedName name="resin">'Calculations'!$C$49:$C$52</definedName>
    <definedName name="units">'Calculations'!$E$49:$E$51</definedName>
  </definedNames>
  <calcPr fullCalcOnLoad="1"/>
</workbook>
</file>

<file path=xl/sharedStrings.xml><?xml version="1.0" encoding="utf-8"?>
<sst xmlns="http://schemas.openxmlformats.org/spreadsheetml/2006/main" count="781" uniqueCount="251">
  <si>
    <t>THC (as carbon)</t>
  </si>
  <si>
    <t>Contaminant</t>
  </si>
  <si>
    <t>CAS #</t>
  </si>
  <si>
    <t>VOC (as propane)</t>
  </si>
  <si>
    <t>Acetaldehyde</t>
  </si>
  <si>
    <t>Acetone</t>
  </si>
  <si>
    <t>Formaldehyde</t>
  </si>
  <si>
    <t>75-07-0</t>
  </si>
  <si>
    <t>67-64-1</t>
  </si>
  <si>
    <t>50-00-0</t>
  </si>
  <si>
    <t>Methanol</t>
  </si>
  <si>
    <t>67-56-1</t>
  </si>
  <si>
    <t>Methyl isobutyl ketone</t>
  </si>
  <si>
    <t>108-10-1</t>
  </si>
  <si>
    <t>Phenol</t>
  </si>
  <si>
    <t>108-95-2</t>
  </si>
  <si>
    <t>Process</t>
  </si>
  <si>
    <t>Dryers</t>
  </si>
  <si>
    <t>Indirect-Heated</t>
  </si>
  <si>
    <t>Are veneer dryers indirect-heated or direct-fired?</t>
  </si>
  <si>
    <t>Quantity of wood processed:</t>
  </si>
  <si>
    <t>Annual Emissions (kg/yr)</t>
  </si>
  <si>
    <t>n/a</t>
  </si>
  <si>
    <t>Process Area</t>
  </si>
  <si>
    <t>Number of Units</t>
  </si>
  <si>
    <t>Airflow Rate (cfm)</t>
  </si>
  <si>
    <t>Example:</t>
  </si>
  <si>
    <t>Total</t>
  </si>
  <si>
    <t>Methyl Isobutyl Ketone</t>
  </si>
  <si>
    <t>Other Substances</t>
  </si>
  <si>
    <t>Resin</t>
  </si>
  <si>
    <t>Urea Formaldehyde Resin</t>
  </si>
  <si>
    <t>Phenol Formaldehyde Resin</t>
  </si>
  <si>
    <t>What type of resin is used?</t>
  </si>
  <si>
    <t>Other</t>
  </si>
  <si>
    <t>INPUT</t>
  </si>
  <si>
    <t>Select</t>
  </si>
  <si>
    <t>=</t>
  </si>
  <si>
    <t>board feet</t>
  </si>
  <si>
    <t>Quantity of resin used?</t>
  </si>
  <si>
    <t>L</t>
  </si>
  <si>
    <t>Units</t>
  </si>
  <si>
    <t>Select Unit</t>
  </si>
  <si>
    <t xml:space="preserve"> </t>
  </si>
  <si>
    <t>Operating Schedule</t>
  </si>
  <si>
    <t>(hours/day)</t>
  </si>
  <si>
    <t>(days/week)</t>
  </si>
  <si>
    <t>(weeks/year)</t>
  </si>
  <si>
    <t>Releases (kg/yr)</t>
  </si>
  <si>
    <t>Sample Calculations:</t>
  </si>
  <si>
    <t>PM Emission Rate =</t>
  </si>
  <si>
    <t>X 3600 s/hr X</t>
  </si>
  <si>
    <t>Summary of Calculations</t>
  </si>
  <si>
    <r>
      <t>Emission Factor (lb/1000 ft</t>
    </r>
    <r>
      <rPr>
        <b/>
        <vertAlign val="superscript"/>
        <sz val="12"/>
        <color indexed="8"/>
        <rFont val="Times New Roman"/>
        <family val="1"/>
      </rPr>
      <t>3</t>
    </r>
    <r>
      <rPr>
        <b/>
        <sz val="12"/>
        <color indexed="8"/>
        <rFont val="Times New Roman"/>
        <family val="1"/>
      </rPr>
      <t>)</t>
    </r>
  </si>
  <si>
    <r>
      <t>Emission Factor (mg/m</t>
    </r>
    <r>
      <rPr>
        <b/>
        <vertAlign val="superscript"/>
        <sz val="12"/>
        <color indexed="8"/>
        <rFont val="Times New Roman"/>
        <family val="1"/>
      </rPr>
      <t>3</t>
    </r>
    <r>
      <rPr>
        <b/>
        <sz val="12"/>
        <color indexed="8"/>
        <rFont val="Times New Roman"/>
        <family val="1"/>
      </rPr>
      <t>)</t>
    </r>
  </si>
  <si>
    <r>
      <t>Number of Units X Airflow Rate (cfm) X 1 m</t>
    </r>
    <r>
      <rPr>
        <vertAlign val="superscript"/>
        <sz val="12"/>
        <color indexed="8"/>
        <rFont val="Times New Roman"/>
        <family val="1"/>
      </rPr>
      <t>3</t>
    </r>
    <r>
      <rPr>
        <sz val="12"/>
        <color indexed="8"/>
        <rFont val="Times New Roman"/>
        <family val="1"/>
      </rPr>
      <t>/s / 2118.88 cfm X 3600 s/hr X hrs/day X days/week X weeks/yr X Emission Factor (mg/m</t>
    </r>
    <r>
      <rPr>
        <vertAlign val="superscript"/>
        <sz val="12"/>
        <color indexed="8"/>
        <rFont val="Times New Roman"/>
        <family val="1"/>
      </rPr>
      <t>3</t>
    </r>
    <r>
      <rPr>
        <sz val="12"/>
        <color indexed="8"/>
        <rFont val="Times New Roman"/>
        <family val="1"/>
      </rPr>
      <t>) X 1 kg/1000000 mg</t>
    </r>
  </si>
  <si>
    <r>
      <t>X 1 m</t>
    </r>
    <r>
      <rPr>
        <vertAlign val="superscript"/>
        <sz val="12"/>
        <color indexed="8"/>
        <rFont val="Times New Roman"/>
        <family val="1"/>
      </rPr>
      <t>3</t>
    </r>
    <r>
      <rPr>
        <sz val="12"/>
        <color indexed="8"/>
        <rFont val="Times New Roman"/>
        <family val="1"/>
      </rPr>
      <t>/s / 2118.88 cfm</t>
    </r>
  </si>
  <si>
    <r>
      <t>mg/m</t>
    </r>
    <r>
      <rPr>
        <vertAlign val="superscript"/>
        <sz val="12"/>
        <color indexed="8"/>
        <rFont val="Times New Roman"/>
        <family val="1"/>
      </rPr>
      <t>3</t>
    </r>
    <r>
      <rPr>
        <sz val="12"/>
        <color indexed="8"/>
        <rFont val="Times New Roman"/>
        <family val="1"/>
      </rPr>
      <t xml:space="preserve"> X 1 kg/1000000 mg</t>
    </r>
  </si>
  <si>
    <t>Sample Calculations</t>
  </si>
  <si>
    <t>THC Releases =</t>
  </si>
  <si>
    <t>Veneer dryer, indirect heated, cooling sections</t>
  </si>
  <si>
    <t>kg</t>
  </si>
  <si>
    <t>Quantity of Resin Used X 50%</t>
  </si>
  <si>
    <t>Quantity of VOCs Used* =</t>
  </si>
  <si>
    <t>gallons (US)</t>
  </si>
  <si>
    <t>pounds</t>
  </si>
  <si>
    <t>ounces</t>
  </si>
  <si>
    <t>grams</t>
  </si>
  <si>
    <t>tons (US)</t>
  </si>
  <si>
    <t>tons (UK)</t>
  </si>
  <si>
    <t>tonnes (metric)</t>
  </si>
  <si>
    <t>Radio frequency-heated redryer</t>
  </si>
  <si>
    <t>11104-93-1</t>
  </si>
  <si>
    <t>3-Carene</t>
  </si>
  <si>
    <t>13466-78-9</t>
  </si>
  <si>
    <t>Acrolein</t>
  </si>
  <si>
    <t>107-02-8</t>
  </si>
  <si>
    <t>Alpha-Pinene</t>
  </si>
  <si>
    <t>80-56-8</t>
  </si>
  <si>
    <t>Benzene</t>
  </si>
  <si>
    <t>71-43-2</t>
  </si>
  <si>
    <t>Beta-Pinene</t>
  </si>
  <si>
    <t>127-91-3</t>
  </si>
  <si>
    <t>Limonene</t>
  </si>
  <si>
    <t>138-86-3</t>
  </si>
  <si>
    <t>m,p-Xylene</t>
  </si>
  <si>
    <t>1330-20-7</t>
  </si>
  <si>
    <t>p-Metha-1,5-diene</t>
  </si>
  <si>
    <t>99-83-2</t>
  </si>
  <si>
    <t>Propionaldehyde</t>
  </si>
  <si>
    <t>123-38-6</t>
  </si>
  <si>
    <t>Toluene</t>
  </si>
  <si>
    <t>108-88-3</t>
  </si>
  <si>
    <t>o-Xylene</t>
  </si>
  <si>
    <t>95-47-6</t>
  </si>
  <si>
    <t>Veneer dryer, indirect heated, heated zones, RTO</t>
  </si>
  <si>
    <t>Methane</t>
  </si>
  <si>
    <t>74-82-8</t>
  </si>
  <si>
    <t>Methyl ethyl ketone</t>
  </si>
  <si>
    <t>78-93-3</t>
  </si>
  <si>
    <t>Styrene</t>
  </si>
  <si>
    <t>100-42-5</t>
  </si>
  <si>
    <t>Veneer dryer, direct natural gas fired, cooling section</t>
  </si>
  <si>
    <t>Veneer dryer, direct natural gas-fired heated zones, RCO</t>
  </si>
  <si>
    <t>VOC</t>
  </si>
  <si>
    <t>Plywood press - hot press, PF resin</t>
  </si>
  <si>
    <t>Percentage of veneers requiring redrying:</t>
  </si>
  <si>
    <t>%</t>
  </si>
  <si>
    <t>Product produced:</t>
  </si>
  <si>
    <t>Products</t>
  </si>
  <si>
    <t>Not Applicable</t>
  </si>
  <si>
    <t>Direct Natural Gas Fired</t>
  </si>
  <si>
    <t>Direct Wood Fired</t>
  </si>
  <si>
    <t>Control</t>
  </si>
  <si>
    <t>None</t>
  </si>
  <si>
    <t>RTO</t>
  </si>
  <si>
    <t>RCO</t>
  </si>
  <si>
    <t>Identify any emissions control technology installed on veneer dryers</t>
  </si>
  <si>
    <t>50-00-00</t>
  </si>
  <si>
    <t>Methyl Ethyl Ketone</t>
  </si>
  <si>
    <t>Veneer Only</t>
  </si>
  <si>
    <t>Plywood Only</t>
  </si>
  <si>
    <t>Both Veneer and Plywood</t>
  </si>
  <si>
    <t>Particulate Matter 2.5 (PM2.5)</t>
  </si>
  <si>
    <r>
      <t>Particulate Matter 2.5 (PM2.5)</t>
    </r>
    <r>
      <rPr>
        <vertAlign val="superscript"/>
        <sz val="12"/>
        <color indexed="8"/>
        <rFont val="Times New Roman"/>
        <family val="1"/>
      </rPr>
      <t>(1)</t>
    </r>
  </si>
  <si>
    <t>Note (2) - As per California Environmental Protection Agency, PM10 is estimated to be 61% of PM emissions for plywood industry</t>
  </si>
  <si>
    <t>Note (1) -  As per California Environmental Protection Agency, PM2.5 is estimated to be 79% of PM10 emissions for plywood industry</t>
  </si>
  <si>
    <r>
      <t>Particulate Matter 10 (PM10)</t>
    </r>
    <r>
      <rPr>
        <vertAlign val="superscript"/>
        <sz val="12"/>
        <color indexed="8"/>
        <rFont val="Times New Roman"/>
        <family val="1"/>
      </rPr>
      <t>(2)</t>
    </r>
  </si>
  <si>
    <t>Note (3) - emission factors are provided for hardwood plywood press using UF resin. It was assumed that emissions would be similar for softwood plywood press using UF resin</t>
  </si>
  <si>
    <r>
      <t>Plywood press - hot press, UF resin</t>
    </r>
    <r>
      <rPr>
        <vertAlign val="superscript"/>
        <sz val="12"/>
        <color indexed="8"/>
        <rFont val="Times New Roman"/>
        <family val="1"/>
      </rPr>
      <t>(3)</t>
    </r>
  </si>
  <si>
    <t>References</t>
  </si>
  <si>
    <t xml:space="preserve">Particulate matter emission factors from dust collectors are provided in MOE Publication #3614e03 "Procedure for Preparing an ESDM Report", 2009 </t>
  </si>
  <si>
    <t>http://www.ene.gov.on.ca/envision/gp/3614e03.pdf</t>
  </si>
  <si>
    <t xml:space="preserve">Chimplast </t>
  </si>
  <si>
    <t xml:space="preserve">Exim Corporation </t>
  </si>
  <si>
    <t>An assessment of resin compositions is based on MSDSs provided by Arclin Performance Applied</t>
  </si>
  <si>
    <t>http://www.arclin.com/products/ourProducts.html</t>
  </si>
  <si>
    <t>http://www.ucp.ru/en/customers/products/himprir/fenolsmola/</t>
  </si>
  <si>
    <t>http://www.eximcorp.com/v2/1024x768/homepage.htm</t>
  </si>
  <si>
    <t xml:space="preserve">Conversion factors for PM10 and PM2.5 are estimated using data from the California Environmental Protection Agency  </t>
  </si>
  <si>
    <t>http://www.arb.ca.gov/app/emsinv/emseic_query.php?F_YR=2008&amp;F_DIV=-4&amp;F_SEASON=A&amp;SP=2009&amp;SPN=2009_Almanac&amp;F_AREA=CA&amp;F_EICSUM=450</t>
  </si>
  <si>
    <t xml:space="preserve">VOC and organic compound emission factors and an assessment of their data quality are provided in and the US EPA AP-42 "Plywood Manufacturing", Section 10.5, 2002 </t>
  </si>
  <si>
    <t>http://www.epa.gov/ttn/chief/ap42/ch10/final/c10s05.pdf</t>
  </si>
  <si>
    <t>PM</t>
  </si>
  <si>
    <r>
      <t>PM</t>
    </r>
    <r>
      <rPr>
        <vertAlign val="superscript"/>
        <sz val="12"/>
        <color indexed="8"/>
        <rFont val="Times New Roman"/>
        <family val="1"/>
      </rPr>
      <t>(4)</t>
    </r>
  </si>
  <si>
    <t>Note (4) - PM emissions from RTO and RCO assumed to be the same as uncontrolled PM emissions since these are designed to control VOC emissions</t>
  </si>
  <si>
    <r>
      <t>PM</t>
    </r>
    <r>
      <rPr>
        <vertAlign val="superscript"/>
        <sz val="12"/>
        <color indexed="8"/>
        <rFont val="Times New Roman"/>
        <family val="1"/>
      </rPr>
      <t>(5)</t>
    </r>
  </si>
  <si>
    <t>Note (5) - US EPA AP-42 document for plywood manufacturing provides only a PM emission factor using a wet electrostatic precipitator (WESP). As per the US EPA AP-42 document on wood combustion, WESP control efficiency  of PM from wood-fired combustion is approximately 88%, and the uncontrolled emission factor was calculated accordingly.</t>
  </si>
  <si>
    <t xml:space="preserve">Dust collectors associated with chippers, sanders, saws </t>
  </si>
  <si>
    <t>Plywood sawing area</t>
  </si>
  <si>
    <t>Data Quality</t>
  </si>
  <si>
    <t>E</t>
  </si>
  <si>
    <t>D</t>
  </si>
  <si>
    <t>Carbon Monoxide</t>
  </si>
  <si>
    <t>630-08-0</t>
  </si>
  <si>
    <t>Carbon Dioxide</t>
  </si>
  <si>
    <t>124-38-9</t>
  </si>
  <si>
    <t>B</t>
  </si>
  <si>
    <t>C</t>
  </si>
  <si>
    <t>Dust Collectors (Data Quality Rating: C)</t>
  </si>
  <si>
    <r>
      <t>cubic feet (m</t>
    </r>
    <r>
      <rPr>
        <vertAlign val="superscript"/>
        <sz val="12"/>
        <rFont val="Times New Roman"/>
        <family val="1"/>
      </rPr>
      <t>3</t>
    </r>
    <r>
      <rPr>
        <sz val="12"/>
        <rFont val="Times New Roman"/>
        <family val="1"/>
      </rPr>
      <t>)</t>
    </r>
  </si>
  <si>
    <r>
      <t>m</t>
    </r>
    <r>
      <rPr>
        <vertAlign val="superscript"/>
        <sz val="12"/>
        <rFont val="Times New Roman"/>
        <family val="1"/>
      </rPr>
      <t>3</t>
    </r>
  </si>
  <si>
    <r>
      <t>m</t>
    </r>
    <r>
      <rPr>
        <vertAlign val="superscript"/>
        <sz val="12"/>
        <color indexed="8"/>
        <rFont val="Times New Roman"/>
        <family val="1"/>
      </rPr>
      <t>3</t>
    </r>
    <r>
      <rPr>
        <sz val="12"/>
        <color indexed="8"/>
        <rFont val="Times New Roman"/>
        <family val="1"/>
      </rPr>
      <t>/year</t>
    </r>
  </si>
  <si>
    <t>Particulate Matter (Total)</t>
  </si>
  <si>
    <r>
      <t>Emission Factor (kg/m</t>
    </r>
    <r>
      <rPr>
        <b/>
        <vertAlign val="superscript"/>
        <sz val="12"/>
        <rFont val="Times New Roman"/>
        <family val="1"/>
      </rPr>
      <t>3</t>
    </r>
    <r>
      <rPr>
        <b/>
        <sz val="12"/>
        <rFont val="Times New Roman"/>
        <family val="1"/>
      </rPr>
      <t>)</t>
    </r>
  </si>
  <si>
    <r>
      <t>Quantity processed (m</t>
    </r>
    <r>
      <rPr>
        <vertAlign val="superscript"/>
        <sz val="12"/>
        <color indexed="8"/>
        <rFont val="Times New Roman"/>
        <family val="1"/>
      </rPr>
      <t>3</t>
    </r>
    <r>
      <rPr>
        <sz val="12"/>
        <color indexed="8"/>
        <rFont val="Times New Roman"/>
        <family val="1"/>
      </rPr>
      <t>) X (Veneer dryer heated zone emission factor (kg/m</t>
    </r>
    <r>
      <rPr>
        <vertAlign val="superscript"/>
        <sz val="12"/>
        <color indexed="8"/>
        <rFont val="Times New Roman"/>
        <family val="1"/>
      </rPr>
      <t>3</t>
    </r>
    <r>
      <rPr>
        <sz val="12"/>
        <color indexed="8"/>
        <rFont val="Times New Roman"/>
        <family val="1"/>
      </rPr>
      <t>) + Veneer dryer cooling section emission factor (kg/m</t>
    </r>
    <r>
      <rPr>
        <vertAlign val="superscript"/>
        <sz val="12"/>
        <color indexed="8"/>
        <rFont val="Times New Roman"/>
        <family val="1"/>
      </rPr>
      <t>3</t>
    </r>
    <r>
      <rPr>
        <sz val="12"/>
        <color indexed="8"/>
        <rFont val="Times New Roman"/>
        <family val="1"/>
      </rPr>
      <t>) + Plywood press emission factor (kg/m</t>
    </r>
    <r>
      <rPr>
        <vertAlign val="superscript"/>
        <sz val="12"/>
        <color indexed="8"/>
        <rFont val="Times New Roman"/>
        <family val="1"/>
      </rPr>
      <t>3</t>
    </r>
    <r>
      <rPr>
        <sz val="12"/>
        <color indexed="8"/>
        <rFont val="Times New Roman"/>
        <family val="1"/>
      </rPr>
      <t>))</t>
    </r>
  </si>
  <si>
    <r>
      <t>If 10,000 m</t>
    </r>
    <r>
      <rPr>
        <vertAlign val="superscript"/>
        <sz val="12"/>
        <color indexed="8"/>
        <rFont val="Times New Roman"/>
        <family val="1"/>
      </rPr>
      <t>3</t>
    </r>
    <r>
      <rPr>
        <sz val="12"/>
        <color indexed="8"/>
        <rFont val="Times New Roman"/>
        <family val="1"/>
      </rPr>
      <t xml:space="preserve"> of wood is processed, with indirect-heated veneer dryers, and using urea formaldehyde resin:</t>
    </r>
  </si>
  <si>
    <r>
      <t>10000 m</t>
    </r>
    <r>
      <rPr>
        <vertAlign val="superscript"/>
        <sz val="12"/>
        <rFont val="Times New Roman"/>
        <family val="1"/>
      </rPr>
      <t>3</t>
    </r>
    <r>
      <rPr>
        <sz val="12"/>
        <rFont val="Times New Roman"/>
        <family val="1"/>
      </rPr>
      <t xml:space="preserve"> X (0.75  kg/m</t>
    </r>
    <r>
      <rPr>
        <vertAlign val="superscript"/>
        <sz val="12"/>
        <rFont val="Times New Roman"/>
        <family val="1"/>
      </rPr>
      <t>3</t>
    </r>
    <r>
      <rPr>
        <sz val="12"/>
        <rFont val="Times New Roman"/>
        <family val="1"/>
      </rPr>
      <t xml:space="preserve"> + 0.025 kg/m</t>
    </r>
    <r>
      <rPr>
        <vertAlign val="superscript"/>
        <sz val="12"/>
        <rFont val="Times New Roman"/>
        <family val="1"/>
      </rPr>
      <t>3</t>
    </r>
    <r>
      <rPr>
        <sz val="12"/>
        <rFont val="Times New Roman"/>
        <family val="1"/>
      </rPr>
      <t xml:space="preserve"> + 0.0275 kg/m</t>
    </r>
    <r>
      <rPr>
        <vertAlign val="superscript"/>
        <sz val="12"/>
        <rFont val="Times New Roman"/>
        <family val="1"/>
      </rPr>
      <t>3)</t>
    </r>
  </si>
  <si>
    <t>Veneer dryer, indirect heated, heated zones, uncontrolled</t>
  </si>
  <si>
    <r>
      <t>Veneer dryer, indirect heated, heated zones, RCO</t>
    </r>
    <r>
      <rPr>
        <vertAlign val="superscript"/>
        <sz val="12"/>
        <color indexed="8"/>
        <rFont val="Times New Roman"/>
        <family val="1"/>
      </rPr>
      <t>(6)</t>
    </r>
  </si>
  <si>
    <t>Note (6) - Unless otherwise indicated, it was assumed that the RCO control efficiency of each contaminant would be the same as the RCO control efficiency provided for the heated zones of a direct natural gas-fired veneer dryer.</t>
  </si>
  <si>
    <r>
      <t>Veneer dryer, direct natural gas-fired heated zones, RTO</t>
    </r>
    <r>
      <rPr>
        <vertAlign val="superscript"/>
        <sz val="12"/>
        <color indexed="8"/>
        <rFont val="Times New Roman"/>
        <family val="1"/>
      </rPr>
      <t>(7)</t>
    </r>
  </si>
  <si>
    <t>Note (7) - Unless otherwise indicated, it was assumed that the RTO control efficiency of each contaminant would be the same as the RTO control efficiency provided for the heated zones of an indirect fired veneer dryer.</t>
  </si>
  <si>
    <t>Veneer dryer, direct natural gas-fired heated zones, uncontrolled</t>
  </si>
  <si>
    <t>Veneer dryer, direct wood-fired, heated zones, uncontrolled</t>
  </si>
  <si>
    <r>
      <t>PM</t>
    </r>
    <r>
      <rPr>
        <vertAlign val="superscript"/>
        <sz val="12"/>
        <color indexed="8"/>
        <rFont val="Times New Roman"/>
        <family val="1"/>
      </rPr>
      <t>(4)</t>
    </r>
    <r>
      <rPr>
        <vertAlign val="superscript"/>
        <sz val="12"/>
        <color indexed="8"/>
        <rFont val="Times New Roman"/>
        <family val="1"/>
      </rPr>
      <t>(5)</t>
    </r>
  </si>
  <si>
    <r>
      <t>Veneer dryer, direct wood-fired, heated zones, RTO</t>
    </r>
    <r>
      <rPr>
        <vertAlign val="superscript"/>
        <sz val="12"/>
        <color indexed="8"/>
        <rFont val="Times New Roman"/>
        <family val="1"/>
      </rPr>
      <t>(8)</t>
    </r>
  </si>
  <si>
    <r>
      <t>Veneer dryer, direct wood-fired, heated zones, RCO</t>
    </r>
    <r>
      <rPr>
        <vertAlign val="superscript"/>
        <sz val="12"/>
        <color indexed="8"/>
        <rFont val="Times New Roman"/>
        <family val="1"/>
      </rPr>
      <t>(9)</t>
    </r>
  </si>
  <si>
    <t>Note (8) - It was assumed that the RTO control efficiency for carbon monoxide, THC, VOCs, and formaldehyde would be the same as the RTO control efficiency provided for the heated zones of an indirect fired veneer dryer. Since control efficiencies for nitrogen oxides and carbon dioxide were not given, it was assumed that these emissions would be the same as the uncontrolled emissions</t>
  </si>
  <si>
    <t>Note (9) - It was assumed that the RCO control efficiency for carbon monoxide, THC, VOCs, and formaldehyde would be the same as the RCO control efficiency provided for the heated zones of a direct natural gas-fired veneer dryer. Since control efficiencies for nitrogen oxides and carbon dioxide were not given, it was assumed that these emissions would be the same as the uncontrolled emissions</t>
  </si>
  <si>
    <t>n/a - not applicable</t>
  </si>
  <si>
    <t>litres per minute</t>
  </si>
  <si>
    <t>litres per second</t>
  </si>
  <si>
    <t>cubic metres per hour</t>
  </si>
  <si>
    <t>How to use this calculator:</t>
  </si>
  <si>
    <t>Output summary:</t>
  </si>
  <si>
    <t>Other processes:</t>
  </si>
  <si>
    <t>Before you start make sure you have:</t>
  </si>
  <si>
    <t>- type and amount of resin used during the reporting year (litres or kilograms)</t>
  </si>
  <si>
    <t>- dust collector operating schedule for the reporting year</t>
  </si>
  <si>
    <t>- the percentage of product that required redrying during the reporting year</t>
  </si>
  <si>
    <t>- the type of emissions control equipment installed on the veneer dryers</t>
  </si>
  <si>
    <t>- dust collector airflow rates (in cubic feet per minute)</t>
  </si>
  <si>
    <t>cfm</t>
  </si>
  <si>
    <t>cubic metres per second</t>
  </si>
  <si>
    <t>* a review of resin MSDSs shows a concentration of formaldehyde &lt; 1%. As a result, the quantity used was not assessed. MSDSs also show the total VOC composition to be approximately 50%.</t>
  </si>
  <si>
    <r>
      <t>1.</t>
    </r>
    <r>
      <rPr>
        <sz val="12"/>
        <color indexed="8"/>
        <rFont val="Times New Roman"/>
        <family val="1"/>
      </rPr>
      <t xml:space="preserve"> Click on the "Input-Output" Tab </t>
    </r>
  </si>
  <si>
    <r>
      <t>2.</t>
    </r>
    <r>
      <rPr>
        <sz val="12"/>
        <color indexed="8"/>
        <rFont val="Times New Roman"/>
        <family val="1"/>
      </rPr>
      <t xml:space="preserve"> Fill out the appropriate amounts in the yellow boxes</t>
    </r>
  </si>
  <si>
    <r>
      <t>1.</t>
    </r>
    <r>
      <rPr>
        <sz val="12"/>
        <color indexed="8"/>
        <rFont val="Times New Roman"/>
        <family val="1"/>
      </rPr>
      <t xml:space="preserve"> Enter the amount of wood processed during the reporting year</t>
    </r>
  </si>
  <si>
    <r>
      <t>2.</t>
    </r>
    <r>
      <rPr>
        <sz val="12"/>
        <color indexed="8"/>
        <rFont val="Times New Roman"/>
        <family val="1"/>
      </rPr>
      <t xml:space="preserve"> Identify the products produced (either veneer or plywood, or both)</t>
    </r>
  </si>
  <si>
    <r>
      <t xml:space="preserve">3. </t>
    </r>
    <r>
      <rPr>
        <sz val="12"/>
        <color indexed="8"/>
        <rFont val="Times New Roman"/>
        <family val="1"/>
      </rPr>
      <t>Identify the firing method (indirect or direct) and fuel (natural gas or wood) for veneer dryers</t>
    </r>
  </si>
  <si>
    <r>
      <t>4.</t>
    </r>
    <r>
      <rPr>
        <sz val="12"/>
        <color indexed="8"/>
        <rFont val="Times New Roman"/>
        <family val="1"/>
      </rPr>
      <t xml:space="preserve"> Identify emissions control technology installed on veneer dryers</t>
    </r>
  </si>
  <si>
    <r>
      <t>5.</t>
    </r>
    <r>
      <rPr>
        <sz val="12"/>
        <color indexed="8"/>
        <rFont val="Times New Roman"/>
        <family val="1"/>
      </rPr>
      <t xml:space="preserve"> Enter the percentage of product that requires redrying</t>
    </r>
  </si>
  <si>
    <r>
      <t>6.</t>
    </r>
    <r>
      <rPr>
        <sz val="12"/>
        <color indexed="8"/>
        <rFont val="Times New Roman"/>
        <family val="1"/>
      </rPr>
      <t xml:space="preserve"> Identify the type of resin (urea formaldehyde, phenol formaldehyde, or other) used</t>
    </r>
  </si>
  <si>
    <r>
      <t>7.</t>
    </r>
    <r>
      <rPr>
        <sz val="12"/>
        <color indexed="8"/>
        <rFont val="Times New Roman"/>
        <family val="1"/>
      </rPr>
      <t xml:space="preserve"> Enter the amount of resin used during the reporting year</t>
    </r>
  </si>
  <si>
    <r>
      <t>9.</t>
    </r>
    <r>
      <rPr>
        <sz val="12"/>
        <color indexed="8"/>
        <rFont val="Times New Roman"/>
        <family val="1"/>
      </rPr>
      <t xml:space="preserve"> Enter the operating schedule for each dust collector</t>
    </r>
  </si>
  <si>
    <r>
      <t>8.</t>
    </r>
    <r>
      <rPr>
        <sz val="12"/>
        <color indexed="8"/>
        <rFont val="Times New Roman"/>
        <family val="1"/>
      </rPr>
      <t xml:space="preserve"> Enter the airflow rate for dust collectors onsite</t>
    </r>
  </si>
  <si>
    <t xml:space="preserve">Unit Conversion Table </t>
  </si>
  <si>
    <t>This page provides all the reference information for the emission factors and assumptions used in the Calculations. Click on the links below to view the source documents.</t>
  </si>
  <si>
    <t>OUTPUT SUMMARY (Only ChemTRAC priority substances)</t>
  </si>
  <si>
    <t>ChemTRAC Priority Substances</t>
  </si>
  <si>
    <r>
      <t>Note</t>
    </r>
    <r>
      <rPr>
        <i/>
        <sz val="12"/>
        <rFont val="Times New Roman"/>
        <family val="1"/>
      </rPr>
      <t>: some of these may not apply to your facility</t>
    </r>
  </si>
  <si>
    <r>
      <t>3.</t>
    </r>
    <r>
      <rPr>
        <sz val="12"/>
        <color indexed="8"/>
        <rFont val="Times New Roman"/>
        <family val="1"/>
      </rPr>
      <t xml:space="preserve"> Scroll down to view the Output Summary</t>
    </r>
  </si>
  <si>
    <r>
      <t>•</t>
    </r>
    <r>
      <rPr>
        <sz val="12"/>
        <rFont val="Times New Roman"/>
        <family val="1"/>
      </rPr>
      <t xml:space="preserve"> Please provide all the information requested in the yellow cells. If a section does not apply to your facility, leave it blank.</t>
    </r>
  </si>
  <si>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</si>
  <si>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 xml:space="preserve">This table gives you the estimated quantity of ChemTRAC priority substances this process manufactured, processed, otherwise used and released for the reporting year. </t>
  </si>
  <si>
    <r>
      <rPr>
        <sz val="12"/>
        <rFont val="Times New Roman"/>
        <family val="1"/>
      </rPr>
      <t>If your facility has other activities or sources that MPO or release priority substances (chemicals), then you need to calculate the amounts of chemicals for these activities as well. Please go to  the</t>
    </r>
    <r>
      <rPr>
        <u val="single"/>
        <sz val="12"/>
        <color indexed="12"/>
        <rFont val="Times New Roman"/>
        <family val="1"/>
      </rPr>
      <t xml:space="preserve"> ChemTRAC website </t>
    </r>
    <r>
      <rPr>
        <sz val="12"/>
        <rFont val="Times New Roman"/>
        <family val="1"/>
      </rPr>
      <t>for other calculators and more information.</t>
    </r>
  </si>
  <si>
    <t>Total MPO and Releases:</t>
  </si>
  <si>
    <r>
      <t xml:space="preserve">• </t>
    </r>
    <r>
      <rPr>
        <sz val="12"/>
        <rFont val="Times New Roman"/>
        <family val="1"/>
      </rPr>
      <t xml:space="preserve">This page gathers information related to the processes at your facility and shows the estimated amounts of priority substances manufactured, processed, otherwise used (MPO) or released </t>
    </r>
  </si>
  <si>
    <t>Nitrogen Oxides (NOx)</t>
  </si>
  <si>
    <t>Volatile Organic Compounds (VOCs)</t>
  </si>
  <si>
    <t>Manufactured</t>
  </si>
  <si>
    <t>Processed</t>
  </si>
  <si>
    <t>Otherwise Used</t>
  </si>
  <si>
    <t>Released to Air</t>
  </si>
  <si>
    <t>Quantity (kg/yr)</t>
  </si>
  <si>
    <r>
      <t>Manufactured</t>
    </r>
    <r>
      <rPr>
        <b/>
        <vertAlign val="superscript"/>
        <sz val="12"/>
        <color indexed="8"/>
        <rFont val="Times New Roman"/>
        <family val="1"/>
      </rPr>
      <t>1</t>
    </r>
  </si>
  <si>
    <r>
      <t>Processed</t>
    </r>
    <r>
      <rPr>
        <b/>
        <vertAlign val="superscript"/>
        <sz val="12"/>
        <color indexed="8"/>
        <rFont val="Times New Roman"/>
        <family val="1"/>
      </rPr>
      <t>1</t>
    </r>
  </si>
  <si>
    <r>
      <t>Otherwise Used</t>
    </r>
    <r>
      <rPr>
        <b/>
        <vertAlign val="superscript"/>
        <sz val="12"/>
        <color indexed="8"/>
        <rFont val="Times New Roman"/>
        <family val="1"/>
      </rPr>
      <t>1</t>
    </r>
  </si>
  <si>
    <r>
      <t>Released to Air</t>
    </r>
    <r>
      <rPr>
        <b/>
        <vertAlign val="superscript"/>
        <sz val="12"/>
        <color indexed="8"/>
        <rFont val="Times New Roman"/>
        <family val="1"/>
      </rPr>
      <t>1</t>
    </r>
  </si>
  <si>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</si>
  <si>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</si>
  <si>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</si>
  <si>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</si>
  <si>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r>
      <rPr>
        <vertAlign val="superscript"/>
        <sz val="12"/>
        <color indexed="8"/>
        <rFont val="Times New Roman"/>
        <family val="1"/>
      </rPr>
      <t>1</t>
    </r>
    <r>
      <rPr>
        <sz val="12"/>
        <color indexed="8"/>
        <rFont val="Times New Roman"/>
        <family val="1"/>
      </rPr>
      <t xml:space="preserve"> For details refer to the Environmental Reporting and Disclosure Bylaw available at the </t>
    </r>
    <r>
      <rPr>
        <u val="single"/>
        <sz val="12"/>
        <color indexed="48"/>
        <rFont val="Times New Roman"/>
        <family val="1"/>
      </rPr>
      <t>ChemTRAC website</t>
    </r>
    <r>
      <rPr>
        <sz val="12"/>
        <color indexed="8"/>
        <rFont val="Times New Roman"/>
        <family val="1"/>
      </rPr>
      <t>.</t>
    </r>
  </si>
  <si>
    <t>Once you have your estimates for activiti(es) or process(es), enter the amounts of MPO and release of each substance from each process into the "Calculation of Totals" calculator (available at www.toronto.ca/chemtrac) to determine if you need to report.</t>
  </si>
  <si>
    <t>- amount of wood processed during the reporting year (cubic metres)
- the type of veneer dryer used (indirect or direct-fired) and its fuel (wood or natural gas)</t>
  </si>
  <si>
    <r>
      <t>•</t>
    </r>
    <r>
      <rPr>
        <sz val="12"/>
        <rFont val="Times New Roman"/>
        <family val="1"/>
      </rPr>
      <t xml:space="preserve"> To determine if you need to report, add the amounts shown in the Output Summary table to any other MPOs or releases from other processes or sources, if any, in your facility. Then you need to compare the total to the reporting thresholds. </t>
    </r>
  </si>
  <si>
    <r>
      <rPr>
        <vertAlign val="superscript"/>
        <sz val="12"/>
        <color indexed="8"/>
        <rFont val="Times New Roman"/>
        <family val="1"/>
      </rPr>
      <t>1</t>
    </r>
    <r>
      <rPr>
        <sz val="12"/>
        <color indexed="8"/>
        <rFont val="Times New Roman"/>
        <family val="1"/>
      </rPr>
      <t xml:space="preserve"> Definitions available in References tab</t>
    </r>
  </si>
  <si>
    <r>
      <t>Definitions</t>
    </r>
    <r>
      <rPr>
        <b/>
        <vertAlign val="superscript"/>
        <sz val="14"/>
        <rFont val="Times New Roman"/>
        <family val="1"/>
      </rPr>
      <t>1</t>
    </r>
  </si>
  <si>
    <r>
      <t xml:space="preserve">This page contains necessary instructions that will help you use this calculator to estimate the amount of priority substances and other chemicals that are manufactured, processed, otherwise used (MPO) and released during the manufacture of </t>
    </r>
    <r>
      <rPr>
        <b/>
        <sz val="12"/>
        <rFont val="Times New Roman"/>
        <family val="1"/>
      </rPr>
      <t>softwood veneer and plywood.</t>
    </r>
  </si>
  <si>
    <t>Input summary:</t>
  </si>
  <si>
    <t>Input-Output</t>
  </si>
  <si>
    <t>Version 1.3, Last Updated: June 14, 2013 AK &amp; ZI</t>
  </si>
  <si>
    <t>Please complete the INPUT tables below:</t>
  </si>
  <si>
    <r>
      <t>•</t>
    </r>
    <r>
      <rPr>
        <sz val="11"/>
        <color theme="1"/>
        <rFont val="Calibri"/>
        <family val="2"/>
      </rPr>
      <t xml:space="preserve"> </t>
    </r>
    <r>
      <rPr>
        <sz val="12"/>
        <rFont val="Times New Roman"/>
        <family val="1"/>
      </rPr>
      <t>You may use</t>
    </r>
    <r>
      <rPr>
        <sz val="12"/>
        <color indexed="12"/>
        <rFont val="Times New Roman"/>
        <family val="1"/>
      </rPr>
      <t xml:space="preserve"> </t>
    </r>
    <r>
      <rPr>
        <sz val="12"/>
        <rFont val="Times New Roman"/>
        <family val="1"/>
      </rPr>
      <t xml:space="preserve">the </t>
    </r>
    <r>
      <rPr>
        <b/>
        <sz val="12"/>
        <rFont val="Times New Roman"/>
        <family val="1"/>
      </rPr>
      <t xml:space="preserve">Calculation of Totals </t>
    </r>
    <r>
      <rPr>
        <sz val="12"/>
        <rFont val="Times New Roman"/>
        <family val="1"/>
      </rPr>
      <t>spreadsheet to do the addition and comparison.</t>
    </r>
  </si>
  <si>
    <t>• This page provides detailed calculations based on the information provided in the Input table. It also provides sample calculations and an assessment of emission factor data quality.</t>
  </si>
  <si>
    <t xml:space="preserve">• If you have site specific emission factors you may use them in the table below. If you choose to insert your own emission factor ensure that the units have been converted accordingly. </t>
  </si>
  <si>
    <t>Copyright (C) 2010, City of Toronto</t>
  </si>
  <si>
    <t>Softwood Veneer and Plywood Manufacturing</t>
  </si>
  <si>
    <t>Calculation Tool for</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</si>
</sst>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General\ &quot;units X&quot;"/>
    <numFmt numFmtId="174" formatCode="General\ &quot;cfm X&quot;"/>
    <numFmt numFmtId="175" formatCode="General\ &quot;hrs/day X&quot;"/>
    <numFmt numFmtId="176" formatCode="General\ &quot;days/week X&quot;"/>
    <numFmt numFmtId="177" formatCode="General\ &quot;weeks/year&quot;"/>
    <numFmt numFmtId="178" formatCode="&quot;X &quot;General"/>
    <numFmt numFmtId="179" formatCode="General\ &quot;kg/yr&quot;"/>
    <numFmt numFmtId="180" formatCode="0.0\ &quot;kg/yr&quot;"/>
    <numFmt numFmtId="181" formatCode="0.00\ &quot;kg/yr&quot;"/>
    <numFmt numFmtId="182" formatCode="General\ \X\ &quot;50%&quot;"/>
    <numFmt numFmtId="183" formatCode="0.0"/>
    <numFmt numFmtId="184" formatCode="0.00000000"/>
    <numFmt numFmtId="185" formatCode="0.0000000"/>
    <numFmt numFmtId="186" formatCode="0.000000"/>
    <numFmt numFmtId="187" formatCode="0.00000"/>
    <numFmt numFmtId="188" formatCode="0.0000"/>
    <numFmt numFmtId="189" formatCode="&quot;Yes&quot;;&quot;Yes&quot;;&quot;No&quot;"/>
    <numFmt numFmtId="190" formatCode="&quot;True&quot;;&quot;True&quot;;&quot;False&quot;"/>
    <numFmt numFmtId="191" formatCode="&quot;On&quot;;&quot;On&quot;;&quot;Off&quot;"/>
    <numFmt numFmtId="192" formatCode="[$€-2]\ #,##0.00_);[Red]\([$€-2]\ #,##0.00\)"/>
    <numFmt numFmtId="193" formatCode="_(* #,##0.0_);_(* \(#,##0.0\);_(* &quot;-&quot;??_);_(@_)"/>
    <numFmt numFmtId="194" formatCode="_(* #,##0_);_(* \(#,##0\);_(* &quot;-&quot;??_);_(@_)"/>
  </numFmts>
  <fonts count="76">
    <font>
      <sz val="11"/>
      <color theme="1"/>
      <name val="Calibri"/>
      <family val="2"/>
    </font>
    <font>
      <sz val="11"/>
      <color indexed="8"/>
      <name val="Calibri"/>
      <family val="2"/>
    </font>
    <font>
      <b/>
      <sz val="14"/>
      <color indexed="8"/>
      <name val="Times New Roman"/>
      <family val="1"/>
    </font>
    <font>
      <b/>
      <sz val="12"/>
      <color indexed="8"/>
      <name val="Times New Roman"/>
      <family val="1"/>
    </font>
    <font>
      <sz val="12"/>
      <color indexed="8"/>
      <name val="Times New Roman"/>
      <family val="1"/>
    </font>
    <font>
      <vertAlign val="superscript"/>
      <sz val="12"/>
      <color indexed="8"/>
      <name val="Times New Roman"/>
      <family val="1"/>
    </font>
    <font>
      <b/>
      <sz val="16"/>
      <color indexed="8"/>
      <name val="Times New Roman"/>
      <family val="1"/>
    </font>
    <font>
      <sz val="10"/>
      <color indexed="8"/>
      <name val="Times New Roman"/>
      <family val="1"/>
    </font>
    <font>
      <sz val="10"/>
      <name val="Times New Roman"/>
      <family val="1"/>
    </font>
    <font>
      <b/>
      <sz val="11"/>
      <color indexed="8"/>
      <name val="Calibri"/>
      <family val="2"/>
    </font>
    <font>
      <sz val="10"/>
      <name val="Arial"/>
      <family val="2"/>
    </font>
    <font>
      <b/>
      <vertAlign val="superscript"/>
      <sz val="12"/>
      <color indexed="8"/>
      <name val="Times New Roman"/>
      <family val="1"/>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u val="single"/>
      <sz val="12"/>
      <color indexed="12"/>
      <name val="Times New Roman"/>
      <family val="1"/>
    </font>
    <font>
      <sz val="12"/>
      <color indexed="8"/>
      <name val="Calibri"/>
      <family val="2"/>
    </font>
    <font>
      <i/>
      <sz val="12"/>
      <color indexed="8"/>
      <name val="Times New Roman"/>
      <family val="1"/>
    </font>
    <font>
      <sz val="8"/>
      <color indexed="8"/>
      <name val="Calibri"/>
      <family val="2"/>
    </font>
    <font>
      <b/>
      <sz val="14"/>
      <name val="Times New Roman"/>
      <family val="1"/>
    </font>
    <font>
      <sz val="14"/>
      <name val="Times New Roman"/>
      <family val="1"/>
    </font>
    <font>
      <sz val="14"/>
      <name val="Arial"/>
      <family val="2"/>
    </font>
    <font>
      <sz val="12"/>
      <color indexed="12"/>
      <name val="Times New Roman"/>
      <family val="1"/>
    </font>
    <font>
      <b/>
      <i/>
      <sz val="12"/>
      <name val="Times New Roman"/>
      <family val="1"/>
    </font>
    <font>
      <i/>
      <sz val="12"/>
      <name val="Times New Roman"/>
      <family val="1"/>
    </font>
    <font>
      <sz val="11"/>
      <color indexed="8"/>
      <name val="Times New Roman"/>
      <family val="1"/>
    </font>
    <font>
      <sz val="11"/>
      <name val="Times New Roman"/>
      <family val="1"/>
    </font>
    <font>
      <u val="single"/>
      <sz val="12"/>
      <color indexed="48"/>
      <name val="Times New Roman"/>
      <family val="1"/>
    </font>
    <font>
      <b/>
      <vertAlign val="superscript"/>
      <sz val="14"/>
      <name val="Times New Roman"/>
      <family val="1"/>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10"/>
      <name val="Times New Roman"/>
      <family val="1"/>
    </font>
    <font>
      <sz val="8"/>
      <name val="Tahoma"/>
      <family val="2"/>
    </font>
    <font>
      <sz val="7"/>
      <color indexed="8"/>
      <name val="Times New Roman"/>
      <family val="1"/>
    </font>
    <font>
      <b/>
      <sz val="7"/>
      <color indexed="8"/>
      <name val="Times New Roman"/>
      <family val="1"/>
    </font>
    <font>
      <sz val="11"/>
      <color indexed="9"/>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rgb="FFFF0000"/>
      <name val="Times New Roman"/>
      <family val="1"/>
    </font>
    <font>
      <sz val="10"/>
      <color theme="1"/>
      <name val="Times New Roman"/>
      <family val="1"/>
    </font>
    <font>
      <sz val="11"/>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indexed="51"/>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style="thin"/>
    </border>
    <border>
      <left style="thin"/>
      <right/>
      <top/>
      <bottom style="thin"/>
    </border>
    <border>
      <left style="medium"/>
      <right style="thin"/>
      <top/>
      <bottom/>
    </border>
    <border>
      <left style="thin"/>
      <right/>
      <top/>
      <bottom/>
    </border>
    <border>
      <left style="thin"/>
      <right style="thin"/>
      <top/>
      <bottom/>
    </border>
    <border>
      <left style="thin"/>
      <right style="thin"/>
      <top/>
      <bottom style="thin"/>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style="medium"/>
      <right/>
      <top/>
      <bottom style="thin"/>
    </border>
    <border>
      <left style="medium"/>
      <right/>
      <top style="thin"/>
      <bottom style="thin"/>
    </border>
    <border>
      <left/>
      <right style="medium"/>
      <top style="thin"/>
      <bottom style="thin"/>
    </border>
    <border>
      <left style="medium"/>
      <right style="thin"/>
      <top style="medium"/>
      <bottom/>
    </border>
    <border>
      <left style="thin"/>
      <right style="thin"/>
      <top style="medium"/>
      <bottom/>
    </border>
    <border>
      <left style="thin"/>
      <right>
        <color indexed="63"/>
      </right>
      <top style="medium"/>
      <bottom/>
    </border>
    <border>
      <left style="thin"/>
      <right style="medium"/>
      <top style="medium"/>
      <bottom/>
    </border>
    <border>
      <left style="thin"/>
      <right style="medium"/>
      <top/>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right/>
      <top style="thin"/>
      <bottom style="thin"/>
    </border>
    <border>
      <left style="thin"/>
      <right style="thin"/>
      <top style="medium"/>
      <bottom style="medium"/>
    </border>
    <border>
      <left style="thin"/>
      <right style="thin"/>
      <top style="thin"/>
      <bottom/>
    </border>
    <border>
      <left style="medium"/>
      <right/>
      <top style="thin"/>
      <bottom style="mediu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color indexed="63"/>
      </left>
      <right style="thin"/>
      <top/>
      <bottom/>
    </border>
    <border>
      <left>
        <color indexed="63"/>
      </left>
      <right style="thin"/>
      <top/>
      <bottom style="medium"/>
    </border>
    <border>
      <left>
        <color indexed="63"/>
      </left>
      <right style="thin"/>
      <top style="medium"/>
      <bottom style="medium"/>
    </border>
    <border>
      <left style="thin"/>
      <right style="thin"/>
      <top style="medium"/>
      <bottom style="thin"/>
    </border>
    <border>
      <left style="thin"/>
      <right style="medium"/>
      <top style="medium"/>
      <bottom style="thin"/>
    </border>
    <border>
      <left style="medium"/>
      <right style="thin"/>
      <top style="thin"/>
      <bottom/>
    </border>
    <border>
      <left style="thin"/>
      <right/>
      <top style="medium"/>
      <bottom style="thin"/>
    </border>
    <border>
      <left/>
      <right style="thin"/>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10" fillId="0" borderId="0">
      <alignment/>
      <protection/>
    </xf>
    <xf numFmtId="0" fontId="1"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59">
    <xf numFmtId="0" fontId="0" fillId="0" borderId="0" xfId="0" applyFont="1" applyAlignment="1">
      <alignment/>
    </xf>
    <xf numFmtId="0" fontId="4" fillId="0" borderId="0" xfId="0" applyFont="1" applyAlignment="1">
      <alignment/>
    </xf>
    <xf numFmtId="0" fontId="18" fillId="33" borderId="10" xfId="0" applyFont="1" applyFill="1" applyBorder="1" applyAlignment="1">
      <alignment/>
    </xf>
    <xf numFmtId="0" fontId="18" fillId="33" borderId="11" xfId="0" applyFont="1" applyFill="1" applyBorder="1" applyAlignment="1">
      <alignment horizontal="center" wrapText="1"/>
    </xf>
    <xf numFmtId="0" fontId="18" fillId="33" borderId="12" xfId="0" applyFont="1" applyFill="1" applyBorder="1" applyAlignment="1">
      <alignment/>
    </xf>
    <xf numFmtId="0" fontId="18" fillId="33" borderId="13" xfId="0" applyFont="1" applyFill="1" applyBorder="1" applyAlignment="1">
      <alignment horizontal="center" wrapText="1"/>
    </xf>
    <xf numFmtId="0" fontId="18" fillId="33" borderId="14" xfId="0" applyFont="1" applyFill="1" applyBorder="1" applyAlignment="1">
      <alignment horizontal="center" wrapText="1"/>
    </xf>
    <xf numFmtId="0" fontId="18" fillId="33" borderId="15" xfId="0" applyFont="1" applyFill="1" applyBorder="1" applyAlignment="1">
      <alignment horizontal="center" wrapText="1"/>
    </xf>
    <xf numFmtId="0" fontId="6" fillId="34" borderId="0" xfId="0" applyFont="1" applyFill="1" applyAlignment="1">
      <alignment horizontal="justify"/>
    </xf>
    <xf numFmtId="0" fontId="7" fillId="34" borderId="0" xfId="0" applyFont="1" applyFill="1" applyAlignment="1">
      <alignment horizontal="justify"/>
    </xf>
    <xf numFmtId="0" fontId="7" fillId="34" borderId="0" xfId="0" applyFont="1" applyFill="1" applyAlignment="1">
      <alignment horizontal="justify" vertical="top"/>
    </xf>
    <xf numFmtId="0" fontId="9" fillId="34" borderId="0" xfId="0" applyFont="1" applyFill="1" applyAlignment="1">
      <alignment vertical="top" wrapText="1"/>
    </xf>
    <xf numFmtId="0" fontId="64" fillId="34" borderId="0" xfId="53" applyFill="1" applyAlignment="1" applyProtection="1">
      <alignment horizontal="left" vertical="top" wrapText="1"/>
      <protection/>
    </xf>
    <xf numFmtId="0" fontId="0" fillId="34" borderId="0" xfId="0" applyFill="1" applyAlignment="1">
      <alignment/>
    </xf>
    <xf numFmtId="0" fontId="3" fillId="34" borderId="0" xfId="0" applyFont="1" applyFill="1" applyAlignment="1">
      <alignment/>
    </xf>
    <xf numFmtId="0" fontId="4" fillId="34" borderId="0" xfId="0" applyFont="1" applyFill="1" applyAlignment="1">
      <alignment/>
    </xf>
    <xf numFmtId="0" fontId="4" fillId="34" borderId="0" xfId="0" applyFont="1" applyFill="1" applyAlignment="1">
      <alignment horizontal="center" wrapText="1"/>
    </xf>
    <xf numFmtId="0" fontId="4" fillId="34" borderId="0" xfId="0" applyFont="1" applyFill="1" applyBorder="1" applyAlignment="1">
      <alignment horizontal="center" wrapText="1"/>
    </xf>
    <xf numFmtId="0" fontId="4" fillId="34" borderId="0" xfId="0" applyFont="1" applyFill="1" applyBorder="1" applyAlignment="1">
      <alignment/>
    </xf>
    <xf numFmtId="0" fontId="4" fillId="34" borderId="12" xfId="0" applyFont="1" applyFill="1" applyBorder="1" applyAlignment="1">
      <alignment/>
    </xf>
    <xf numFmtId="0" fontId="4" fillId="34" borderId="14" xfId="0" applyFont="1" applyFill="1" applyBorder="1" applyAlignment="1">
      <alignment horizontal="center" wrapText="1"/>
    </xf>
    <xf numFmtId="0" fontId="4" fillId="34" borderId="16" xfId="0" applyFont="1" applyFill="1" applyBorder="1" applyAlignment="1">
      <alignment horizontal="center"/>
    </xf>
    <xf numFmtId="0" fontId="4" fillId="34" borderId="17" xfId="0" applyFont="1" applyFill="1" applyBorder="1" applyAlignment="1">
      <alignment/>
    </xf>
    <xf numFmtId="0" fontId="4" fillId="34" borderId="18" xfId="0" applyFont="1" applyFill="1" applyBorder="1" applyAlignment="1">
      <alignment horizontal="center" wrapText="1"/>
    </xf>
    <xf numFmtId="0" fontId="4" fillId="34" borderId="19" xfId="0" applyFont="1" applyFill="1" applyBorder="1" applyAlignment="1">
      <alignment horizontal="center"/>
    </xf>
    <xf numFmtId="0" fontId="3" fillId="34" borderId="12" xfId="0" applyFont="1" applyFill="1" applyBorder="1" applyAlignment="1">
      <alignment/>
    </xf>
    <xf numFmtId="2" fontId="4" fillId="34" borderId="14" xfId="0" applyNumberFormat="1" applyFont="1" applyFill="1" applyBorder="1" applyAlignment="1">
      <alignment horizontal="center" wrapText="1"/>
    </xf>
    <xf numFmtId="0" fontId="4" fillId="34" borderId="14" xfId="0" applyFont="1" applyFill="1" applyBorder="1" applyAlignment="1">
      <alignment/>
    </xf>
    <xf numFmtId="0" fontId="4" fillId="34" borderId="0" xfId="0" applyFont="1" applyFill="1" applyAlignment="1">
      <alignment horizontal="right"/>
    </xf>
    <xf numFmtId="0" fontId="4" fillId="34" borderId="0" xfId="0" applyFont="1" applyFill="1" applyAlignment="1">
      <alignment horizontal="left"/>
    </xf>
    <xf numFmtId="182" fontId="4" fillId="34" borderId="0" xfId="0" applyNumberFormat="1" applyFont="1" applyFill="1" applyAlignment="1">
      <alignment horizontal="left"/>
    </xf>
    <xf numFmtId="179" fontId="4" fillId="34" borderId="0" xfId="0" applyNumberFormat="1" applyFont="1" applyFill="1" applyAlignment="1">
      <alignment horizontal="left"/>
    </xf>
    <xf numFmtId="0" fontId="3" fillId="34" borderId="0" xfId="0" applyFont="1" applyFill="1" applyAlignment="1">
      <alignment/>
    </xf>
    <xf numFmtId="0" fontId="3" fillId="34" borderId="20" xfId="0" applyFont="1" applyFill="1" applyBorder="1" applyAlignment="1">
      <alignment horizontal="center" wrapText="1"/>
    </xf>
    <xf numFmtId="0" fontId="4" fillId="34" borderId="12" xfId="0" applyFont="1" applyFill="1" applyBorder="1" applyAlignment="1">
      <alignment wrapText="1"/>
    </xf>
    <xf numFmtId="0" fontId="4" fillId="34" borderId="10" xfId="0" applyFont="1" applyFill="1" applyBorder="1" applyAlignment="1">
      <alignment wrapText="1"/>
    </xf>
    <xf numFmtId="0" fontId="4" fillId="34" borderId="15" xfId="0" applyFont="1" applyFill="1" applyBorder="1" applyAlignment="1">
      <alignment/>
    </xf>
    <xf numFmtId="0" fontId="4" fillId="34" borderId="15" xfId="0" applyFont="1" applyFill="1" applyBorder="1" applyAlignment="1">
      <alignment horizontal="center" wrapText="1"/>
    </xf>
    <xf numFmtId="172" fontId="4" fillId="34" borderId="0" xfId="0" applyNumberFormat="1" applyFont="1" applyFill="1" applyAlignment="1">
      <alignment/>
    </xf>
    <xf numFmtId="0" fontId="4" fillId="34" borderId="10" xfId="0" applyFont="1" applyFill="1" applyBorder="1" applyAlignment="1">
      <alignment/>
    </xf>
    <xf numFmtId="0" fontId="4" fillId="34" borderId="18" xfId="0" applyFont="1" applyFill="1" applyBorder="1" applyAlignment="1">
      <alignment/>
    </xf>
    <xf numFmtId="11" fontId="4" fillId="34" borderId="19" xfId="0" applyNumberFormat="1" applyFont="1" applyFill="1" applyBorder="1" applyAlignment="1">
      <alignment horizontal="center"/>
    </xf>
    <xf numFmtId="0" fontId="4" fillId="34" borderId="0" xfId="0" applyFont="1" applyFill="1" applyBorder="1" applyAlignment="1">
      <alignment horizontal="center"/>
    </xf>
    <xf numFmtId="0" fontId="3" fillId="34" borderId="0" xfId="0" applyFont="1" applyFill="1" applyBorder="1" applyAlignment="1">
      <alignment/>
    </xf>
    <xf numFmtId="0" fontId="4" fillId="34" borderId="0" xfId="0" applyFont="1" applyFill="1" applyBorder="1" applyAlignment="1">
      <alignment horizontal="right"/>
    </xf>
    <xf numFmtId="0" fontId="3" fillId="34" borderId="21" xfId="0" applyFont="1" applyFill="1" applyBorder="1" applyAlignment="1">
      <alignment horizontal="left"/>
    </xf>
    <xf numFmtId="0" fontId="3" fillId="34" borderId="22" xfId="0" applyFont="1" applyFill="1" applyBorder="1" applyAlignment="1">
      <alignment horizontal="left"/>
    </xf>
    <xf numFmtId="0" fontId="3" fillId="34" borderId="23" xfId="0" applyFont="1" applyFill="1" applyBorder="1" applyAlignment="1">
      <alignment horizontal="left"/>
    </xf>
    <xf numFmtId="0" fontId="3" fillId="34" borderId="24" xfId="0" applyFont="1" applyFill="1" applyBorder="1" applyAlignment="1">
      <alignment horizontal="center" wrapText="1"/>
    </xf>
    <xf numFmtId="0" fontId="3" fillId="34" borderId="25" xfId="0" applyFont="1" applyFill="1" applyBorder="1" applyAlignment="1">
      <alignment horizontal="center" wrapText="1"/>
    </xf>
    <xf numFmtId="0" fontId="4" fillId="34" borderId="26" xfId="0" applyFont="1" applyFill="1" applyBorder="1" applyAlignment="1">
      <alignment/>
    </xf>
    <xf numFmtId="0" fontId="4" fillId="34" borderId="24" xfId="0" applyFont="1" applyFill="1" applyBorder="1" applyAlignment="1">
      <alignment horizontal="center"/>
    </xf>
    <xf numFmtId="0" fontId="4" fillId="34" borderId="25" xfId="0" applyFont="1" applyFill="1" applyBorder="1" applyAlignment="1">
      <alignment horizontal="center"/>
    </xf>
    <xf numFmtId="1" fontId="4" fillId="34" borderId="27" xfId="0" applyNumberFormat="1" applyFont="1" applyFill="1" applyBorder="1" applyAlignment="1">
      <alignment horizontal="center"/>
    </xf>
    <xf numFmtId="0" fontId="4" fillId="34" borderId="28" xfId="0" applyFont="1" applyFill="1" applyBorder="1" applyAlignment="1">
      <alignment/>
    </xf>
    <xf numFmtId="0" fontId="4" fillId="34" borderId="29" xfId="0" applyFont="1" applyFill="1" applyBorder="1" applyAlignment="1">
      <alignment horizontal="center"/>
    </xf>
    <xf numFmtId="0" fontId="4" fillId="34" borderId="30" xfId="0" applyFont="1" applyFill="1" applyBorder="1" applyAlignment="1">
      <alignment horizontal="center"/>
    </xf>
    <xf numFmtId="1" fontId="4" fillId="34" borderId="31" xfId="0" applyNumberFormat="1" applyFont="1" applyFill="1" applyBorder="1" applyAlignment="1">
      <alignment horizontal="center"/>
    </xf>
    <xf numFmtId="0" fontId="3" fillId="34" borderId="17" xfId="0" applyFont="1" applyFill="1" applyBorder="1" applyAlignment="1">
      <alignment/>
    </xf>
    <xf numFmtId="0" fontId="3" fillId="34" borderId="18" xfId="0" applyFont="1" applyFill="1" applyBorder="1" applyAlignment="1">
      <alignment horizontal="center" wrapText="1"/>
    </xf>
    <xf numFmtId="0" fontId="3" fillId="34" borderId="32" xfId="0" applyFont="1" applyFill="1" applyBorder="1" applyAlignment="1">
      <alignment horizontal="center" wrapText="1"/>
    </xf>
    <xf numFmtId="173" fontId="4" fillId="34" borderId="0" xfId="0" applyNumberFormat="1" applyFont="1" applyFill="1" applyAlignment="1">
      <alignment/>
    </xf>
    <xf numFmtId="174" fontId="4" fillId="34" borderId="0" xfId="0" applyNumberFormat="1" applyFont="1" applyFill="1" applyAlignment="1">
      <alignment horizontal="center" wrapText="1"/>
    </xf>
    <xf numFmtId="0" fontId="4" fillId="34" borderId="0" xfId="0" applyFont="1" applyFill="1" applyAlignment="1">
      <alignment horizontal="center"/>
    </xf>
    <xf numFmtId="175" fontId="4" fillId="34" borderId="0" xfId="0" applyNumberFormat="1" applyFont="1" applyFill="1" applyAlignment="1">
      <alignment horizontal="center"/>
    </xf>
    <xf numFmtId="176" fontId="4" fillId="34" borderId="0" xfId="0" applyNumberFormat="1" applyFont="1" applyFill="1" applyAlignment="1">
      <alignment horizontal="center"/>
    </xf>
    <xf numFmtId="177" fontId="4" fillId="34" borderId="0" xfId="0" applyNumberFormat="1" applyFont="1" applyFill="1" applyAlignment="1">
      <alignment horizontal="center"/>
    </xf>
    <xf numFmtId="178" fontId="4" fillId="34" borderId="0" xfId="0" applyNumberFormat="1" applyFont="1" applyFill="1" applyAlignment="1">
      <alignment horizontal="center"/>
    </xf>
    <xf numFmtId="180" fontId="4" fillId="34" borderId="0" xfId="0" applyNumberFormat="1" applyFont="1" applyFill="1" applyAlignment="1">
      <alignment horizontal="center"/>
    </xf>
    <xf numFmtId="0" fontId="6" fillId="34" borderId="0" xfId="0" applyFont="1" applyFill="1" applyAlignment="1">
      <alignment horizontal="left"/>
    </xf>
    <xf numFmtId="0" fontId="4" fillId="35" borderId="33" xfId="0" applyFont="1" applyFill="1" applyBorder="1" applyAlignment="1">
      <alignment/>
    </xf>
    <xf numFmtId="0" fontId="3" fillId="35" borderId="34" xfId="0" applyFont="1" applyFill="1" applyBorder="1" applyAlignment="1">
      <alignment/>
    </xf>
    <xf numFmtId="0" fontId="4" fillId="35" borderId="34" xfId="0" applyFont="1" applyFill="1" applyBorder="1" applyAlignment="1">
      <alignment/>
    </xf>
    <xf numFmtId="0" fontId="4" fillId="35" borderId="35" xfId="0" applyFont="1" applyFill="1" applyBorder="1" applyAlignment="1">
      <alignment/>
    </xf>
    <xf numFmtId="0" fontId="4" fillId="35" borderId="36" xfId="0" applyFont="1" applyFill="1" applyBorder="1" applyAlignment="1">
      <alignment/>
    </xf>
    <xf numFmtId="0" fontId="4" fillId="35" borderId="0" xfId="0" applyFont="1" applyFill="1" applyBorder="1" applyAlignment="1">
      <alignment/>
    </xf>
    <xf numFmtId="0" fontId="4" fillId="35" borderId="37" xfId="0" applyFont="1" applyFill="1" applyBorder="1" applyAlignment="1">
      <alignment/>
    </xf>
    <xf numFmtId="0" fontId="4" fillId="35" borderId="36"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36" xfId="0" applyFont="1" applyFill="1" applyBorder="1" applyAlignment="1">
      <alignment horizontal="center"/>
    </xf>
    <xf numFmtId="0" fontId="4" fillId="35" borderId="0" xfId="0" applyFont="1" applyFill="1" applyBorder="1" applyAlignment="1">
      <alignment horizontal="center"/>
    </xf>
    <xf numFmtId="0" fontId="4" fillId="35" borderId="36" xfId="0" applyFont="1" applyFill="1" applyBorder="1" applyAlignment="1">
      <alignment horizontal="left"/>
    </xf>
    <xf numFmtId="0" fontId="4" fillId="35" borderId="0" xfId="0" applyFont="1" applyFill="1" applyBorder="1" applyAlignment="1">
      <alignment horizontal="left"/>
    </xf>
    <xf numFmtId="0" fontId="4" fillId="35" borderId="38" xfId="0" applyFont="1" applyFill="1" applyBorder="1" applyAlignment="1">
      <alignment/>
    </xf>
    <xf numFmtId="0" fontId="4" fillId="35" borderId="39" xfId="0" applyFont="1" applyFill="1" applyBorder="1" applyAlignment="1">
      <alignment/>
    </xf>
    <xf numFmtId="0" fontId="4" fillId="35" borderId="40" xfId="0" applyFont="1" applyFill="1" applyBorder="1" applyAlignment="1">
      <alignment/>
    </xf>
    <xf numFmtId="0" fontId="4" fillId="36" borderId="41" xfId="0" applyFont="1" applyFill="1" applyBorder="1" applyAlignment="1">
      <alignment/>
    </xf>
    <xf numFmtId="0" fontId="4" fillId="36" borderId="42" xfId="0" applyFont="1" applyFill="1" applyBorder="1" applyAlignment="1">
      <alignment/>
    </xf>
    <xf numFmtId="0" fontId="4" fillId="36" borderId="43" xfId="0" applyFont="1" applyFill="1" applyBorder="1" applyAlignment="1">
      <alignment horizontal="left" vertical="center" wrapText="1"/>
    </xf>
    <xf numFmtId="0" fontId="4" fillId="36" borderId="44" xfId="0" applyFont="1" applyFill="1" applyBorder="1" applyAlignment="1">
      <alignment horizontal="left" vertical="center"/>
    </xf>
    <xf numFmtId="0" fontId="4" fillId="36" borderId="43" xfId="0" applyFont="1" applyFill="1" applyBorder="1" applyAlignment="1">
      <alignment wrapText="1"/>
    </xf>
    <xf numFmtId="0" fontId="4" fillId="36" borderId="38" xfId="0" applyFont="1" applyFill="1" applyBorder="1" applyAlignment="1">
      <alignment wrapText="1"/>
    </xf>
    <xf numFmtId="0" fontId="4" fillId="36" borderId="40" xfId="0" applyFont="1" applyFill="1" applyBorder="1" applyAlignment="1">
      <alignment horizontal="left"/>
    </xf>
    <xf numFmtId="0" fontId="3" fillId="36" borderId="29" xfId="0" applyFont="1" applyFill="1" applyBorder="1" applyAlignment="1">
      <alignment horizontal="center" wrapText="1"/>
    </xf>
    <xf numFmtId="0" fontId="3" fillId="36" borderId="31" xfId="0" applyFont="1" applyFill="1" applyBorder="1" applyAlignment="1">
      <alignment horizontal="center" wrapText="1"/>
    </xf>
    <xf numFmtId="0" fontId="4" fillId="37" borderId="33" xfId="0" applyFont="1" applyFill="1" applyBorder="1" applyAlignment="1">
      <alignment/>
    </xf>
    <xf numFmtId="0" fontId="3" fillId="37" borderId="34" xfId="0" applyFont="1" applyFill="1" applyBorder="1" applyAlignment="1">
      <alignment/>
    </xf>
    <xf numFmtId="0" fontId="4" fillId="37" borderId="34" xfId="0" applyFont="1" applyFill="1" applyBorder="1" applyAlignment="1">
      <alignment/>
    </xf>
    <xf numFmtId="0" fontId="4" fillId="37" borderId="35" xfId="0" applyFont="1" applyFill="1" applyBorder="1" applyAlignment="1">
      <alignment/>
    </xf>
    <xf numFmtId="0" fontId="4" fillId="37" borderId="36" xfId="0" applyFont="1" applyFill="1" applyBorder="1" applyAlignment="1">
      <alignment/>
    </xf>
    <xf numFmtId="0" fontId="4" fillId="37" borderId="37" xfId="0" applyFont="1" applyFill="1" applyBorder="1" applyAlignment="1">
      <alignment/>
    </xf>
    <xf numFmtId="0" fontId="4" fillId="37" borderId="38" xfId="0" applyFont="1" applyFill="1" applyBorder="1" applyAlignment="1">
      <alignment/>
    </xf>
    <xf numFmtId="0" fontId="4" fillId="37" borderId="39" xfId="0" applyFont="1" applyFill="1" applyBorder="1" applyAlignment="1">
      <alignment/>
    </xf>
    <xf numFmtId="0" fontId="4" fillId="37" borderId="40" xfId="0" applyFont="1" applyFill="1" applyBorder="1" applyAlignment="1">
      <alignment/>
    </xf>
    <xf numFmtId="0" fontId="4" fillId="36" borderId="45" xfId="0" applyFont="1" applyFill="1" applyBorder="1" applyAlignment="1">
      <alignment/>
    </xf>
    <xf numFmtId="0" fontId="4" fillId="36" borderId="46" xfId="0" applyFont="1" applyFill="1" applyBorder="1" applyAlignment="1">
      <alignment horizontal="center" wrapText="1"/>
    </xf>
    <xf numFmtId="0" fontId="4" fillId="36" borderId="12" xfId="0" applyFont="1" applyFill="1" applyBorder="1" applyAlignment="1">
      <alignment/>
    </xf>
    <xf numFmtId="0" fontId="4" fillId="36" borderId="14" xfId="0" applyFont="1" applyFill="1" applyBorder="1" applyAlignment="1">
      <alignment horizontal="center" wrapText="1"/>
    </xf>
    <xf numFmtId="0" fontId="4" fillId="36" borderId="18" xfId="0" applyFont="1" applyFill="1" applyBorder="1" applyAlignment="1">
      <alignment horizontal="center" wrapText="1"/>
    </xf>
    <xf numFmtId="0" fontId="4" fillId="34" borderId="36" xfId="0" applyFont="1" applyFill="1" applyBorder="1" applyAlignment="1">
      <alignment/>
    </xf>
    <xf numFmtId="0" fontId="4" fillId="34" borderId="37" xfId="0" applyFont="1" applyFill="1" applyBorder="1" applyAlignment="1">
      <alignment/>
    </xf>
    <xf numFmtId="0" fontId="4" fillId="34" borderId="38" xfId="0" applyFont="1" applyFill="1" applyBorder="1" applyAlignment="1">
      <alignment/>
    </xf>
    <xf numFmtId="0" fontId="4" fillId="34" borderId="40" xfId="0" applyFont="1" applyFill="1" applyBorder="1" applyAlignment="1">
      <alignment/>
    </xf>
    <xf numFmtId="0" fontId="3" fillId="34" borderId="0" xfId="0" applyFont="1" applyFill="1" applyAlignment="1">
      <alignment horizontal="left"/>
    </xf>
    <xf numFmtId="0" fontId="6" fillId="34" borderId="0" xfId="0" applyFont="1" applyFill="1" applyAlignment="1">
      <alignment/>
    </xf>
    <xf numFmtId="0" fontId="3" fillId="34" borderId="0" xfId="0" applyFont="1" applyFill="1" applyAlignment="1">
      <alignment horizontal="justify" vertical="top"/>
    </xf>
    <xf numFmtId="0" fontId="4" fillId="34" borderId="12" xfId="0" applyFont="1" applyFill="1" applyBorder="1" applyAlignment="1">
      <alignment horizontal="left" wrapText="1"/>
    </xf>
    <xf numFmtId="0" fontId="3" fillId="34" borderId="46" xfId="0" applyFont="1" applyFill="1" applyBorder="1" applyAlignment="1">
      <alignment horizontal="center" wrapText="1"/>
    </xf>
    <xf numFmtId="0" fontId="3" fillId="34" borderId="45" xfId="0" applyFont="1" applyFill="1" applyBorder="1" applyAlignment="1">
      <alignment/>
    </xf>
    <xf numFmtId="0" fontId="4" fillId="34" borderId="45" xfId="0" applyFont="1" applyFill="1" applyBorder="1" applyAlignment="1">
      <alignment wrapText="1"/>
    </xf>
    <xf numFmtId="0" fontId="4" fillId="34" borderId="46" xfId="0" applyFont="1" applyFill="1" applyBorder="1" applyAlignment="1">
      <alignment/>
    </xf>
    <xf numFmtId="0" fontId="4" fillId="34" borderId="46" xfId="0" applyFont="1" applyFill="1" applyBorder="1" applyAlignment="1">
      <alignment horizontal="center" wrapText="1"/>
    </xf>
    <xf numFmtId="0" fontId="4" fillId="34" borderId="12" xfId="0" applyFont="1" applyFill="1" applyBorder="1" applyAlignment="1">
      <alignment horizontal="left" vertical="top" wrapText="1"/>
    </xf>
    <xf numFmtId="0" fontId="3" fillId="34" borderId="46" xfId="0" applyFont="1" applyFill="1" applyBorder="1" applyAlignment="1">
      <alignment/>
    </xf>
    <xf numFmtId="0" fontId="4" fillId="34" borderId="12" xfId="0" applyFont="1" applyFill="1" applyBorder="1" applyAlignment="1">
      <alignment vertical="top" wrapText="1"/>
    </xf>
    <xf numFmtId="0" fontId="3" fillId="34" borderId="47" xfId="0" applyFont="1" applyFill="1" applyBorder="1" applyAlignment="1">
      <alignment horizontal="center" wrapText="1"/>
    </xf>
    <xf numFmtId="0" fontId="4" fillId="34" borderId="48" xfId="0" applyFont="1" applyFill="1" applyBorder="1" applyAlignment="1">
      <alignment horizontal="center"/>
    </xf>
    <xf numFmtId="0" fontId="4" fillId="34" borderId="49" xfId="0" applyFont="1" applyFill="1" applyBorder="1" applyAlignment="1">
      <alignment horizontal="center"/>
    </xf>
    <xf numFmtId="0" fontId="12" fillId="34" borderId="12" xfId="0" applyFont="1" applyFill="1" applyBorder="1" applyAlignment="1">
      <alignment wrapText="1"/>
    </xf>
    <xf numFmtId="0" fontId="12" fillId="36" borderId="50" xfId="0" applyFont="1" applyFill="1" applyBorder="1" applyAlignment="1">
      <alignment/>
    </xf>
    <xf numFmtId="0" fontId="12" fillId="36" borderId="51" xfId="0" applyFont="1" applyFill="1" applyBorder="1" applyAlignment="1">
      <alignment/>
    </xf>
    <xf numFmtId="0" fontId="12" fillId="36" borderId="52" xfId="0" applyFont="1" applyFill="1" applyBorder="1" applyAlignment="1">
      <alignment/>
    </xf>
    <xf numFmtId="0" fontId="12" fillId="36" borderId="53" xfId="0" applyFont="1" applyFill="1" applyBorder="1" applyAlignment="1">
      <alignment/>
    </xf>
    <xf numFmtId="0" fontId="12" fillId="36" borderId="54" xfId="0" applyFont="1" applyFill="1" applyBorder="1" applyAlignment="1">
      <alignment/>
    </xf>
    <xf numFmtId="0" fontId="12" fillId="36" borderId="44" xfId="0" applyFont="1" applyFill="1" applyBorder="1" applyAlignment="1">
      <alignment/>
    </xf>
    <xf numFmtId="0" fontId="12" fillId="36" borderId="50" xfId="57" applyFont="1" applyFill="1" applyBorder="1">
      <alignment/>
      <protection/>
    </xf>
    <xf numFmtId="0" fontId="12" fillId="36" borderId="50" xfId="57" applyFont="1" applyFill="1" applyBorder="1" applyAlignment="1">
      <alignment horizontal="center"/>
      <protection/>
    </xf>
    <xf numFmtId="0" fontId="12" fillId="36" borderId="51" xfId="57" applyFont="1" applyFill="1" applyBorder="1">
      <alignment/>
      <protection/>
    </xf>
    <xf numFmtId="0" fontId="12" fillId="36" borderId="54" xfId="57" applyFont="1" applyFill="1" applyBorder="1">
      <alignment/>
      <protection/>
    </xf>
    <xf numFmtId="0" fontId="12" fillId="36" borderId="54" xfId="57" applyFont="1" applyFill="1" applyBorder="1" applyAlignment="1">
      <alignment horizontal="center"/>
      <protection/>
    </xf>
    <xf numFmtId="0" fontId="12" fillId="36" borderId="44" xfId="57" applyFont="1" applyFill="1" applyBorder="1">
      <alignment/>
      <protection/>
    </xf>
    <xf numFmtId="0" fontId="12" fillId="36" borderId="52" xfId="57" applyFont="1" applyFill="1" applyBorder="1">
      <alignment/>
      <protection/>
    </xf>
    <xf numFmtId="0" fontId="12" fillId="36" borderId="52" xfId="57" applyFont="1" applyFill="1" applyBorder="1" applyAlignment="1">
      <alignment horizontal="center"/>
      <protection/>
    </xf>
    <xf numFmtId="0" fontId="12" fillId="36" borderId="53" xfId="57" applyFont="1" applyFill="1" applyBorder="1">
      <alignment/>
      <protection/>
    </xf>
    <xf numFmtId="0" fontId="4" fillId="36" borderId="51" xfId="0" applyFont="1" applyFill="1" applyBorder="1" applyAlignment="1">
      <alignment/>
    </xf>
    <xf numFmtId="0" fontId="13" fillId="34" borderId="55" xfId="0" applyFont="1" applyFill="1" applyBorder="1" applyAlignment="1">
      <alignment horizontal="center" wrapText="1"/>
    </xf>
    <xf numFmtId="172" fontId="4" fillId="34" borderId="14" xfId="0" applyNumberFormat="1" applyFont="1" applyFill="1" applyBorder="1" applyAlignment="1">
      <alignment horizontal="center" wrapText="1"/>
    </xf>
    <xf numFmtId="172" fontId="4" fillId="34" borderId="15" xfId="0" applyNumberFormat="1" applyFont="1" applyFill="1" applyBorder="1" applyAlignment="1">
      <alignment horizontal="center" wrapText="1"/>
    </xf>
    <xf numFmtId="0" fontId="4" fillId="34" borderId="56" xfId="0" applyFont="1" applyFill="1" applyBorder="1" applyAlignment="1">
      <alignment horizontal="center" wrapText="1"/>
    </xf>
    <xf numFmtId="0" fontId="12" fillId="34" borderId="0" xfId="0" applyFont="1" applyFill="1" applyBorder="1" applyAlignment="1">
      <alignment/>
    </xf>
    <xf numFmtId="181" fontId="12" fillId="34" borderId="0" xfId="0" applyNumberFormat="1" applyFont="1" applyFill="1" applyBorder="1" applyAlignment="1">
      <alignment horizontal="left"/>
    </xf>
    <xf numFmtId="183" fontId="4" fillId="34" borderId="56" xfId="0" applyNumberFormat="1" applyFont="1" applyFill="1" applyBorder="1" applyAlignment="1">
      <alignment horizontal="center"/>
    </xf>
    <xf numFmtId="183" fontId="4" fillId="34" borderId="14" xfId="0" applyNumberFormat="1" applyFont="1" applyFill="1" applyBorder="1" applyAlignment="1">
      <alignment horizontal="center"/>
    </xf>
    <xf numFmtId="183" fontId="4" fillId="34" borderId="15" xfId="0" applyNumberFormat="1" applyFont="1" applyFill="1" applyBorder="1" applyAlignment="1">
      <alignment horizontal="center"/>
    </xf>
    <xf numFmtId="2" fontId="4" fillId="34" borderId="15" xfId="0" applyNumberFormat="1" applyFont="1" applyFill="1" applyBorder="1" applyAlignment="1">
      <alignment horizontal="center" wrapText="1"/>
    </xf>
    <xf numFmtId="188" fontId="4" fillId="34" borderId="14" xfId="0" applyNumberFormat="1" applyFont="1" applyFill="1" applyBorder="1" applyAlignment="1">
      <alignment horizontal="center" wrapText="1"/>
    </xf>
    <xf numFmtId="183" fontId="4" fillId="34" borderId="14" xfId="0" applyNumberFormat="1" applyFont="1" applyFill="1" applyBorder="1" applyAlignment="1">
      <alignment horizontal="center" wrapText="1"/>
    </xf>
    <xf numFmtId="183" fontId="4" fillId="34" borderId="46" xfId="0" applyNumberFormat="1" applyFont="1" applyFill="1" applyBorder="1" applyAlignment="1">
      <alignment horizontal="center" wrapText="1"/>
    </xf>
    <xf numFmtId="183" fontId="4" fillId="34" borderId="15" xfId="0" applyNumberFormat="1" applyFont="1" applyFill="1" applyBorder="1" applyAlignment="1">
      <alignment horizontal="center" wrapText="1"/>
    </xf>
    <xf numFmtId="183" fontId="4" fillId="34" borderId="18" xfId="0" applyNumberFormat="1" applyFont="1" applyFill="1" applyBorder="1" applyAlignment="1">
      <alignment horizontal="center"/>
    </xf>
    <xf numFmtId="0" fontId="4" fillId="37" borderId="34" xfId="0" applyFont="1" applyFill="1" applyBorder="1" applyAlignment="1">
      <alignment horizontal="center" wrapText="1"/>
    </xf>
    <xf numFmtId="2" fontId="4" fillId="37" borderId="34" xfId="0" applyNumberFormat="1" applyFont="1" applyFill="1" applyBorder="1" applyAlignment="1">
      <alignment horizontal="center" wrapText="1"/>
    </xf>
    <xf numFmtId="2" fontId="4" fillId="37" borderId="34" xfId="0" applyNumberFormat="1" applyFont="1" applyFill="1" applyBorder="1" applyAlignment="1">
      <alignment horizontal="center"/>
    </xf>
    <xf numFmtId="2" fontId="4" fillId="34" borderId="0" xfId="0" applyNumberFormat="1" applyFont="1" applyFill="1" applyBorder="1" applyAlignment="1">
      <alignment horizontal="center" wrapText="1"/>
    </xf>
    <xf numFmtId="2" fontId="4" fillId="34" borderId="0" xfId="0" applyNumberFormat="1" applyFont="1" applyFill="1" applyBorder="1" applyAlignment="1">
      <alignment horizontal="center"/>
    </xf>
    <xf numFmtId="0" fontId="8" fillId="34" borderId="22" xfId="0" applyFont="1" applyFill="1" applyBorder="1" applyAlignment="1">
      <alignment horizontal="justify"/>
    </xf>
    <xf numFmtId="0" fontId="3" fillId="35" borderId="36" xfId="0" applyFont="1" applyFill="1" applyBorder="1" applyAlignment="1">
      <alignment horizontal="left" vertical="top" wrapText="1"/>
    </xf>
    <xf numFmtId="0" fontId="3" fillId="35" borderId="38" xfId="0" applyFont="1" applyFill="1" applyBorder="1" applyAlignment="1">
      <alignment horizontal="left" vertical="top" wrapText="1"/>
    </xf>
    <xf numFmtId="0" fontId="17" fillId="35" borderId="36" xfId="0" applyFont="1" applyFill="1" applyBorder="1" applyAlignment="1">
      <alignment/>
    </xf>
    <xf numFmtId="0" fontId="4" fillId="35" borderId="37" xfId="0" applyFont="1" applyFill="1" applyBorder="1" applyAlignment="1" quotePrefix="1">
      <alignment/>
    </xf>
    <xf numFmtId="0" fontId="4" fillId="35" borderId="37" xfId="0" applyFont="1" applyFill="1" applyBorder="1" applyAlignment="1" quotePrefix="1">
      <alignment wrapText="1"/>
    </xf>
    <xf numFmtId="0" fontId="17" fillId="35" borderId="38" xfId="0" applyFont="1" applyFill="1" applyBorder="1" applyAlignment="1">
      <alignment/>
    </xf>
    <xf numFmtId="0" fontId="12" fillId="34" borderId="0" xfId="0" applyFont="1" applyFill="1" applyAlignment="1">
      <alignment/>
    </xf>
    <xf numFmtId="0" fontId="12" fillId="0" borderId="0" xfId="0" applyFont="1" applyAlignment="1">
      <alignment/>
    </xf>
    <xf numFmtId="0" fontId="4" fillId="34" borderId="0" xfId="0" applyFont="1" applyFill="1" applyAlignment="1">
      <alignment/>
    </xf>
    <xf numFmtId="0" fontId="13" fillId="34" borderId="22" xfId="0" applyFont="1" applyFill="1" applyBorder="1" applyAlignment="1">
      <alignment wrapText="1"/>
    </xf>
    <xf numFmtId="0" fontId="13" fillId="34" borderId="34" xfId="0" applyFont="1" applyFill="1" applyBorder="1" applyAlignment="1">
      <alignment wrapText="1"/>
    </xf>
    <xf numFmtId="0" fontId="13" fillId="34" borderId="0" xfId="0" applyFont="1" applyFill="1" applyBorder="1" applyAlignment="1">
      <alignment wrapText="1"/>
    </xf>
    <xf numFmtId="0" fontId="19" fillId="34" borderId="0" xfId="0" applyFont="1" applyFill="1" applyAlignment="1">
      <alignment/>
    </xf>
    <xf numFmtId="0" fontId="3" fillId="35" borderId="35" xfId="0" applyFont="1" applyFill="1" applyBorder="1" applyAlignment="1">
      <alignment horizontal="justify" vertical="top" wrapText="1"/>
    </xf>
    <xf numFmtId="0" fontId="3" fillId="35" borderId="37" xfId="0" applyFont="1" applyFill="1" applyBorder="1" applyAlignment="1">
      <alignment horizontal="justify" vertical="top" wrapText="1"/>
    </xf>
    <xf numFmtId="0" fontId="3" fillId="35" borderId="35" xfId="0" applyNumberFormat="1" applyFont="1" applyFill="1" applyBorder="1" applyAlignment="1">
      <alignment horizontal="justify" vertical="top" wrapText="1"/>
    </xf>
    <xf numFmtId="0" fontId="3" fillId="35" borderId="37" xfId="0" applyNumberFormat="1" applyFont="1" applyFill="1" applyBorder="1" applyAlignment="1">
      <alignment horizontal="justify" vertical="top" wrapText="1"/>
    </xf>
    <xf numFmtId="0" fontId="3" fillId="35" borderId="40" xfId="0" applyNumberFormat="1" applyFont="1" applyFill="1" applyBorder="1" applyAlignment="1">
      <alignment horizontal="justify" vertical="top" wrapText="1"/>
    </xf>
    <xf numFmtId="0" fontId="3" fillId="35" borderId="21" xfId="0" applyFont="1" applyFill="1" applyBorder="1" applyAlignment="1">
      <alignment horizontal="left" vertical="top" wrapText="1"/>
    </xf>
    <xf numFmtId="0" fontId="16" fillId="35" borderId="23" xfId="53" applyNumberFormat="1" applyFont="1" applyFill="1" applyBorder="1" applyAlignment="1" applyProtection="1">
      <alignment horizontal="justify" vertical="top" wrapText="1"/>
      <protection/>
    </xf>
    <xf numFmtId="0" fontId="13" fillId="34" borderId="33" xfId="0" applyFont="1" applyFill="1" applyBorder="1" applyAlignment="1">
      <alignment/>
    </xf>
    <xf numFmtId="0" fontId="12" fillId="34" borderId="34" xfId="0" applyFont="1" applyFill="1" applyBorder="1" applyAlignment="1">
      <alignment/>
    </xf>
    <xf numFmtId="0" fontId="12" fillId="34" borderId="35" xfId="0" applyFont="1" applyFill="1" applyBorder="1" applyAlignment="1">
      <alignment/>
    </xf>
    <xf numFmtId="0" fontId="13" fillId="34" borderId="36" xfId="0" applyFont="1" applyFill="1" applyBorder="1" applyAlignment="1">
      <alignment/>
    </xf>
    <xf numFmtId="0" fontId="12" fillId="34" borderId="37" xfId="0" applyFont="1" applyFill="1" applyBorder="1" applyAlignment="1">
      <alignment/>
    </xf>
    <xf numFmtId="0" fontId="12" fillId="34" borderId="36" xfId="0" applyFont="1" applyFill="1" applyBorder="1" applyAlignment="1">
      <alignment/>
    </xf>
    <xf numFmtId="0" fontId="12" fillId="36" borderId="50" xfId="0" applyFont="1" applyFill="1" applyBorder="1" applyAlignment="1">
      <alignment horizontal="center"/>
    </xf>
    <xf numFmtId="0" fontId="12" fillId="36" borderId="52" xfId="0" applyFont="1" applyFill="1" applyBorder="1" applyAlignment="1">
      <alignment horizontal="center"/>
    </xf>
    <xf numFmtId="0" fontId="12" fillId="36" borderId="54" xfId="0" applyFont="1" applyFill="1" applyBorder="1" applyAlignment="1">
      <alignment horizontal="center"/>
    </xf>
    <xf numFmtId="0" fontId="12" fillId="38" borderId="41" xfId="0" applyFont="1" applyFill="1" applyBorder="1" applyAlignment="1" applyProtection="1">
      <alignment horizontal="center"/>
      <protection locked="0"/>
    </xf>
    <xf numFmtId="0" fontId="12" fillId="38" borderId="57" xfId="0" applyFont="1" applyFill="1" applyBorder="1" applyAlignment="1" applyProtection="1">
      <alignment horizontal="center"/>
      <protection locked="0"/>
    </xf>
    <xf numFmtId="0" fontId="12" fillId="38" borderId="43" xfId="0" applyFont="1" applyFill="1" applyBorder="1" applyAlignment="1" applyProtection="1">
      <alignment horizontal="center"/>
      <protection locked="0"/>
    </xf>
    <xf numFmtId="0" fontId="12" fillId="38" borderId="41" xfId="57" applyFont="1" applyFill="1" applyBorder="1" applyAlignment="1" applyProtection="1">
      <alignment horizontal="center"/>
      <protection locked="0"/>
    </xf>
    <xf numFmtId="0" fontId="12" fillId="36" borderId="50" xfId="0" applyFont="1" applyFill="1" applyBorder="1" applyAlignment="1">
      <alignment wrapText="1"/>
    </xf>
    <xf numFmtId="0" fontId="4" fillId="34" borderId="39" xfId="0" applyFont="1" applyFill="1" applyBorder="1" applyAlignment="1">
      <alignment/>
    </xf>
    <xf numFmtId="0" fontId="12" fillId="35" borderId="58" xfId="0" applyFont="1" applyFill="1" applyBorder="1" applyAlignment="1">
      <alignment wrapText="1"/>
    </xf>
    <xf numFmtId="0" fontId="24" fillId="35" borderId="40" xfId="0" applyFont="1" applyFill="1" applyBorder="1" applyAlignment="1">
      <alignment/>
    </xf>
    <xf numFmtId="0" fontId="3" fillId="35" borderId="21" xfId="0" applyFont="1" applyFill="1" applyBorder="1" applyAlignment="1">
      <alignment horizontal="justify" vertical="top"/>
    </xf>
    <xf numFmtId="49" fontId="3" fillId="39" borderId="21" xfId="0" applyNumberFormat="1" applyFont="1" applyFill="1" applyBorder="1" applyAlignment="1">
      <alignment horizontal="left" vertical="top" wrapText="1"/>
    </xf>
    <xf numFmtId="0" fontId="12" fillId="35" borderId="23" xfId="53" applyNumberFormat="1" applyFont="1" applyFill="1" applyBorder="1" applyAlignment="1" applyProtection="1">
      <alignment horizontal="justify" vertical="top" wrapText="1"/>
      <protection/>
    </xf>
    <xf numFmtId="0" fontId="3" fillId="35" borderId="40" xfId="0" applyFont="1" applyFill="1" applyBorder="1" applyAlignment="1">
      <alignment horizontal="justify" vertical="top" wrapText="1"/>
    </xf>
    <xf numFmtId="0" fontId="0" fillId="40" borderId="0" xfId="0" applyFill="1" applyAlignment="1">
      <alignment/>
    </xf>
    <xf numFmtId="0" fontId="0" fillId="40" borderId="0" xfId="0" applyFill="1" applyAlignment="1">
      <alignment/>
    </xf>
    <xf numFmtId="0" fontId="7" fillId="40" borderId="0" xfId="0" applyFont="1" applyFill="1" applyAlignment="1">
      <alignment horizontal="justify"/>
    </xf>
    <xf numFmtId="0" fontId="4" fillId="38" borderId="26" xfId="0" applyFont="1" applyFill="1" applyBorder="1" applyAlignment="1" applyProtection="1">
      <alignment/>
      <protection locked="0"/>
    </xf>
    <xf numFmtId="0" fontId="4" fillId="38" borderId="24" xfId="0" applyFont="1" applyFill="1" applyBorder="1" applyAlignment="1" applyProtection="1">
      <alignment horizontal="center" wrapText="1"/>
      <protection locked="0"/>
    </xf>
    <xf numFmtId="0" fontId="4" fillId="38" borderId="25" xfId="0" applyFont="1" applyFill="1" applyBorder="1" applyAlignment="1" applyProtection="1">
      <alignment horizontal="center" wrapText="1"/>
      <protection locked="0"/>
    </xf>
    <xf numFmtId="0" fontId="4" fillId="38" borderId="27" xfId="0" applyFont="1" applyFill="1" applyBorder="1" applyAlignment="1" applyProtection="1">
      <alignment horizontal="center" wrapText="1"/>
      <protection locked="0"/>
    </xf>
    <xf numFmtId="0" fontId="4" fillId="38" borderId="28" xfId="0" applyFont="1" applyFill="1" applyBorder="1" applyAlignment="1" applyProtection="1">
      <alignment/>
      <protection locked="0"/>
    </xf>
    <xf numFmtId="0" fontId="4" fillId="38" borderId="29" xfId="0" applyFont="1" applyFill="1" applyBorder="1" applyAlignment="1" applyProtection="1">
      <alignment horizontal="center" wrapText="1"/>
      <protection locked="0"/>
    </xf>
    <xf numFmtId="0" fontId="4" fillId="38" borderId="30" xfId="0" applyFont="1" applyFill="1" applyBorder="1" applyAlignment="1" applyProtection="1">
      <alignment horizontal="center" wrapText="1"/>
      <protection locked="0"/>
    </xf>
    <xf numFmtId="0" fontId="4" fillId="38" borderId="31" xfId="0" applyFont="1" applyFill="1" applyBorder="1" applyAlignment="1" applyProtection="1">
      <alignment horizontal="center" wrapText="1"/>
      <protection locked="0"/>
    </xf>
    <xf numFmtId="0" fontId="3" fillId="34" borderId="59" xfId="0" applyFont="1" applyFill="1" applyBorder="1" applyAlignment="1">
      <alignment horizontal="left" vertical="top"/>
    </xf>
    <xf numFmtId="0" fontId="4" fillId="34" borderId="33" xfId="0" applyFont="1" applyFill="1" applyBorder="1" applyAlignment="1">
      <alignment horizontal="left" vertical="top"/>
    </xf>
    <xf numFmtId="0" fontId="3" fillId="34" borderId="34" xfId="0" applyFont="1" applyFill="1" applyBorder="1" applyAlignment="1">
      <alignment horizontal="left" vertical="top" wrapText="1"/>
    </xf>
    <xf numFmtId="0" fontId="4" fillId="34" borderId="35" xfId="0" applyFont="1" applyFill="1" applyBorder="1" applyAlignment="1">
      <alignment horizontal="left" vertical="top" wrapText="1"/>
    </xf>
    <xf numFmtId="0" fontId="3" fillId="34" borderId="35" xfId="0" applyFont="1" applyFill="1" applyBorder="1" applyAlignment="1">
      <alignment horizontal="left" vertical="top"/>
    </xf>
    <xf numFmtId="0" fontId="4" fillId="34" borderId="36" xfId="0" applyFont="1" applyFill="1" applyBorder="1" applyAlignment="1">
      <alignment horizontal="left" vertical="top"/>
    </xf>
    <xf numFmtId="0" fontId="4" fillId="34" borderId="37" xfId="0" applyFont="1" applyFill="1" applyBorder="1" applyAlignment="1">
      <alignment horizontal="left" vertical="top" wrapText="1"/>
    </xf>
    <xf numFmtId="0" fontId="4" fillId="34" borderId="37" xfId="0" applyFont="1" applyFill="1" applyBorder="1" applyAlignment="1">
      <alignment horizontal="left" vertical="top"/>
    </xf>
    <xf numFmtId="0" fontId="4" fillId="34" borderId="38" xfId="0" applyFont="1" applyFill="1" applyBorder="1" applyAlignment="1">
      <alignment horizontal="left" vertical="top"/>
    </xf>
    <xf numFmtId="0" fontId="4" fillId="34" borderId="39" xfId="0" applyFont="1" applyFill="1" applyBorder="1" applyAlignment="1">
      <alignment horizontal="left" vertical="top" wrapText="1"/>
    </xf>
    <xf numFmtId="0" fontId="4" fillId="34" borderId="40" xfId="0" applyFont="1" applyFill="1" applyBorder="1" applyAlignment="1">
      <alignment horizontal="left" vertical="top" wrapText="1"/>
    </xf>
    <xf numFmtId="0" fontId="4" fillId="34" borderId="40" xfId="0" applyFont="1" applyFill="1" applyBorder="1" applyAlignment="1">
      <alignment horizontal="left" vertical="top"/>
    </xf>
    <xf numFmtId="0" fontId="3" fillId="34" borderId="0" xfId="0" applyFont="1" applyFill="1" applyBorder="1" applyAlignment="1">
      <alignment horizontal="left" vertical="top" wrapText="1"/>
    </xf>
    <xf numFmtId="0" fontId="24" fillId="0" borderId="58" xfId="0" applyFont="1" applyFill="1" applyBorder="1" applyAlignment="1">
      <alignment wrapText="1"/>
    </xf>
    <xf numFmtId="0" fontId="4" fillId="34" borderId="60" xfId="0" applyFont="1" applyFill="1" applyBorder="1" applyAlignment="1" applyProtection="1">
      <alignment horizontal="left" vertical="top"/>
      <protection locked="0"/>
    </xf>
    <xf numFmtId="0" fontId="4" fillId="34" borderId="61" xfId="0" applyFont="1" applyFill="1" applyBorder="1" applyAlignment="1" applyProtection="1">
      <alignment horizontal="left" vertical="top"/>
      <protection locked="0"/>
    </xf>
    <xf numFmtId="0" fontId="4" fillId="34" borderId="0" xfId="0" applyFont="1" applyFill="1" applyBorder="1" applyAlignment="1" applyProtection="1">
      <alignment horizontal="left" vertical="top" wrapText="1"/>
      <protection locked="0"/>
    </xf>
    <xf numFmtId="0" fontId="4" fillId="34" borderId="37" xfId="0" applyFont="1" applyFill="1" applyBorder="1" applyAlignment="1" applyProtection="1">
      <alignment horizontal="left" vertical="top"/>
      <protection locked="0"/>
    </xf>
    <xf numFmtId="0" fontId="4" fillId="34" borderId="40" xfId="0" applyFont="1" applyFill="1" applyBorder="1" applyAlignment="1" applyProtection="1">
      <alignment horizontal="left" vertical="top"/>
      <protection locked="0"/>
    </xf>
    <xf numFmtId="0" fontId="7" fillId="40" borderId="0" xfId="0" applyFont="1" applyFill="1" applyAlignment="1">
      <alignment horizontal="justify" vertical="top"/>
    </xf>
    <xf numFmtId="0" fontId="12" fillId="40" borderId="0" xfId="0" applyFont="1" applyFill="1" applyAlignment="1">
      <alignment/>
    </xf>
    <xf numFmtId="0" fontId="4" fillId="40" borderId="0" xfId="0" applyFont="1" applyFill="1" applyAlignment="1">
      <alignment/>
    </xf>
    <xf numFmtId="0" fontId="26" fillId="35" borderId="23" xfId="0" applyNumberFormat="1" applyFont="1" applyFill="1" applyBorder="1" applyAlignment="1">
      <alignment horizontal="justify" vertical="top" wrapText="1"/>
    </xf>
    <xf numFmtId="3" fontId="4" fillId="38" borderId="50" xfId="0" applyNumberFormat="1" applyFont="1" applyFill="1" applyBorder="1" applyAlignment="1" applyProtection="1">
      <alignment horizontal="center"/>
      <protection locked="0"/>
    </xf>
    <xf numFmtId="0" fontId="4" fillId="38" borderId="54" xfId="0" applyFont="1" applyFill="1" applyBorder="1" applyAlignment="1" applyProtection="1">
      <alignment horizontal="center" vertical="center" wrapText="1"/>
      <protection locked="0"/>
    </xf>
    <xf numFmtId="0" fontId="4" fillId="36" borderId="12" xfId="0" applyFont="1" applyFill="1" applyBorder="1" applyAlignment="1">
      <alignment/>
    </xf>
    <xf numFmtId="0" fontId="4" fillId="36" borderId="59" xfId="0" applyFont="1" applyFill="1" applyBorder="1" applyAlignment="1">
      <alignment/>
    </xf>
    <xf numFmtId="0" fontId="4" fillId="36" borderId="60" xfId="0" applyFont="1" applyFill="1" applyBorder="1" applyAlignment="1">
      <alignment/>
    </xf>
    <xf numFmtId="0" fontId="4" fillId="36" borderId="60" xfId="0" applyFont="1" applyFill="1" applyBorder="1" applyAlignment="1">
      <alignment/>
    </xf>
    <xf numFmtId="0" fontId="4" fillId="36" borderId="61" xfId="0" applyFont="1" applyFill="1" applyBorder="1" applyAlignment="1">
      <alignment/>
    </xf>
    <xf numFmtId="0" fontId="4" fillId="37" borderId="34" xfId="0" applyFont="1" applyFill="1" applyBorder="1" applyAlignment="1">
      <alignment/>
    </xf>
    <xf numFmtId="0" fontId="4" fillId="34" borderId="62" xfId="0" applyFont="1" applyFill="1" applyBorder="1" applyAlignment="1">
      <alignment horizontal="center" wrapText="1"/>
    </xf>
    <xf numFmtId="0" fontId="72" fillId="40" borderId="0" xfId="53" applyFont="1" applyFill="1" applyBorder="1" applyAlignment="1" applyProtection="1">
      <alignment wrapText="1"/>
      <protection/>
    </xf>
    <xf numFmtId="0" fontId="4" fillId="36" borderId="17" xfId="0" applyFont="1" applyFill="1" applyBorder="1" applyAlignment="1">
      <alignment/>
    </xf>
    <xf numFmtId="0" fontId="3" fillId="35" borderId="36" xfId="0" applyFont="1" applyFill="1" applyBorder="1" applyAlignment="1">
      <alignment wrapText="1"/>
    </xf>
    <xf numFmtId="0" fontId="12" fillId="35" borderId="37" xfId="0" applyFont="1" applyFill="1" applyBorder="1" applyAlignment="1" quotePrefix="1">
      <alignment wrapText="1"/>
    </xf>
    <xf numFmtId="183" fontId="4" fillId="36" borderId="14" xfId="0" applyNumberFormat="1" applyFont="1" applyFill="1" applyBorder="1" applyAlignment="1">
      <alignment horizontal="center" wrapText="1"/>
    </xf>
    <xf numFmtId="183" fontId="4" fillId="36" borderId="0" xfId="0" applyNumberFormat="1" applyFont="1" applyFill="1" applyBorder="1" applyAlignment="1">
      <alignment horizontal="center" wrapText="1"/>
    </xf>
    <xf numFmtId="183" fontId="4" fillId="36" borderId="16" xfId="0" applyNumberFormat="1" applyFont="1" applyFill="1" applyBorder="1" applyAlignment="1">
      <alignment horizontal="center"/>
    </xf>
    <xf numFmtId="183" fontId="4" fillId="36" borderId="18" xfId="0" applyNumberFormat="1" applyFont="1" applyFill="1" applyBorder="1" applyAlignment="1">
      <alignment horizontal="center" wrapText="1"/>
    </xf>
    <xf numFmtId="183" fontId="4" fillId="36" borderId="18" xfId="0" applyNumberFormat="1" applyFont="1" applyFill="1" applyBorder="1" applyAlignment="1">
      <alignment horizontal="center" wrapText="1"/>
    </xf>
    <xf numFmtId="183" fontId="4" fillId="36" borderId="63" xfId="0" applyNumberFormat="1" applyFont="1" applyFill="1" applyBorder="1" applyAlignment="1">
      <alignment horizontal="center" wrapText="1"/>
    </xf>
    <xf numFmtId="183" fontId="4" fillId="36" borderId="19" xfId="0" applyNumberFormat="1" applyFont="1" applyFill="1" applyBorder="1" applyAlignment="1">
      <alignment horizontal="center"/>
    </xf>
    <xf numFmtId="183" fontId="4" fillId="34" borderId="0" xfId="0" applyNumberFormat="1" applyFont="1" applyFill="1" applyBorder="1" applyAlignment="1">
      <alignment horizontal="center" wrapText="1"/>
    </xf>
    <xf numFmtId="183" fontId="4" fillId="34" borderId="16" xfId="0" applyNumberFormat="1" applyFont="1" applyFill="1" applyBorder="1" applyAlignment="1">
      <alignment horizontal="center"/>
    </xf>
    <xf numFmtId="183" fontId="4" fillId="34" borderId="18" xfId="0" applyNumberFormat="1" applyFont="1" applyFill="1" applyBorder="1" applyAlignment="1">
      <alignment horizontal="center" wrapText="1"/>
    </xf>
    <xf numFmtId="183" fontId="4" fillId="34" borderId="63" xfId="0" applyNumberFormat="1" applyFont="1" applyFill="1" applyBorder="1" applyAlignment="1">
      <alignment horizontal="center" wrapText="1"/>
    </xf>
    <xf numFmtId="183" fontId="4" fillId="34" borderId="19" xfId="0" applyNumberFormat="1" applyFont="1" applyFill="1" applyBorder="1" applyAlignment="1">
      <alignment horizontal="center"/>
    </xf>
    <xf numFmtId="0" fontId="20" fillId="40" borderId="0" xfId="0" applyFont="1" applyFill="1" applyAlignment="1">
      <alignment/>
    </xf>
    <xf numFmtId="0" fontId="12" fillId="2" borderId="59" xfId="0" applyFont="1" applyFill="1" applyBorder="1" applyAlignment="1">
      <alignment wrapText="1"/>
    </xf>
    <xf numFmtId="0" fontId="12" fillId="2" borderId="60" xfId="0" applyFont="1" applyFill="1" applyBorder="1" applyAlignment="1">
      <alignment wrapText="1"/>
    </xf>
    <xf numFmtId="0" fontId="12" fillId="2" borderId="61" xfId="0" applyFont="1" applyFill="1" applyBorder="1" applyAlignment="1">
      <alignment wrapText="1"/>
    </xf>
    <xf numFmtId="3" fontId="73" fillId="36" borderId="46" xfId="0" applyNumberFormat="1" applyFont="1" applyFill="1" applyBorder="1" applyAlignment="1">
      <alignment horizontal="center" wrapText="1"/>
    </xf>
    <xf numFmtId="3" fontId="73" fillId="36" borderId="48" xfId="0" applyNumberFormat="1" applyFont="1" applyFill="1" applyBorder="1" applyAlignment="1">
      <alignment horizontal="center"/>
    </xf>
    <xf numFmtId="3" fontId="73" fillId="36" borderId="14" xfId="0" applyNumberFormat="1" applyFont="1" applyFill="1" applyBorder="1" applyAlignment="1">
      <alignment horizontal="center" wrapText="1"/>
    </xf>
    <xf numFmtId="3" fontId="73" fillId="36" borderId="16" xfId="0" applyNumberFormat="1" applyFont="1" applyFill="1" applyBorder="1" applyAlignment="1">
      <alignment horizontal="center"/>
    </xf>
    <xf numFmtId="3" fontId="73" fillId="36" borderId="18" xfId="0" applyNumberFormat="1" applyFont="1" applyFill="1" applyBorder="1" applyAlignment="1">
      <alignment horizontal="center" wrapText="1"/>
    </xf>
    <xf numFmtId="3" fontId="73" fillId="36" borderId="19" xfId="0" applyNumberFormat="1" applyFont="1" applyFill="1" applyBorder="1" applyAlignment="1">
      <alignment horizontal="center"/>
    </xf>
    <xf numFmtId="3" fontId="4" fillId="38" borderId="25" xfId="0" applyNumberFormat="1" applyFont="1" applyFill="1" applyBorder="1" applyAlignment="1" applyProtection="1">
      <alignment horizontal="center" wrapText="1"/>
      <protection locked="0"/>
    </xf>
    <xf numFmtId="3" fontId="4" fillId="38" borderId="39" xfId="42" applyNumberFormat="1" applyFont="1" applyFill="1" applyBorder="1" applyAlignment="1" applyProtection="1">
      <alignment horizontal="center" wrapText="1"/>
      <protection locked="0"/>
    </xf>
    <xf numFmtId="0" fontId="74" fillId="40" borderId="0" xfId="0" applyFont="1" applyFill="1" applyAlignment="1">
      <alignment/>
    </xf>
    <xf numFmtId="0" fontId="7" fillId="34" borderId="0" xfId="0" applyFont="1" applyFill="1" applyAlignment="1">
      <alignment/>
    </xf>
    <xf numFmtId="0" fontId="4" fillId="40" borderId="59" xfId="0" applyFont="1" applyFill="1" applyBorder="1" applyAlignment="1" applyProtection="1">
      <alignment horizontal="left" vertical="top" wrapText="1"/>
      <protection locked="0"/>
    </xf>
    <xf numFmtId="0" fontId="16" fillId="40" borderId="60" xfId="53" applyFont="1" applyFill="1" applyBorder="1" applyAlignment="1" applyProtection="1">
      <alignment horizontal="left" wrapText="1"/>
      <protection locked="0"/>
    </xf>
    <xf numFmtId="0" fontId="4" fillId="40" borderId="60" xfId="0" applyFont="1" applyFill="1" applyBorder="1" applyAlignment="1" applyProtection="1">
      <alignment horizontal="left" wrapText="1"/>
      <protection locked="0"/>
    </xf>
    <xf numFmtId="0" fontId="16" fillId="40" borderId="60" xfId="53" applyFont="1" applyFill="1" applyBorder="1" applyAlignment="1" applyProtection="1">
      <alignment/>
      <protection locked="0"/>
    </xf>
    <xf numFmtId="0" fontId="17" fillId="40" borderId="60" xfId="0" applyFont="1" applyFill="1" applyBorder="1" applyAlignment="1" applyProtection="1">
      <alignment/>
      <protection locked="0"/>
    </xf>
    <xf numFmtId="0" fontId="4" fillId="40" borderId="60" xfId="0" applyFont="1" applyFill="1" applyBorder="1" applyAlignment="1" applyProtection="1">
      <alignment wrapText="1"/>
      <protection locked="0"/>
    </xf>
    <xf numFmtId="0" fontId="16" fillId="40" borderId="60" xfId="53" applyFont="1" applyFill="1" applyBorder="1" applyAlignment="1" applyProtection="1">
      <alignment wrapText="1"/>
      <protection locked="0"/>
    </xf>
    <xf numFmtId="0" fontId="0" fillId="40" borderId="61" xfId="0" applyFill="1" applyBorder="1" applyAlignment="1" applyProtection="1">
      <alignment/>
      <protection locked="0"/>
    </xf>
    <xf numFmtId="0" fontId="4" fillId="34" borderId="0" xfId="0" applyFont="1" applyFill="1" applyAlignment="1">
      <alignment horizontal="left" vertical="center"/>
    </xf>
    <xf numFmtId="0" fontId="72" fillId="34" borderId="0" xfId="0" applyFont="1" applyFill="1" applyAlignment="1">
      <alignment/>
    </xf>
    <xf numFmtId="0" fontId="3" fillId="36" borderId="64" xfId="0" applyFont="1" applyFill="1" applyBorder="1" applyAlignment="1">
      <alignment vertical="center"/>
    </xf>
    <xf numFmtId="0" fontId="3" fillId="36" borderId="55" xfId="0" applyFont="1" applyFill="1" applyBorder="1" applyAlignment="1">
      <alignment horizontal="center" vertical="center"/>
    </xf>
    <xf numFmtId="0" fontId="3" fillId="36" borderId="55"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3" fillId="36" borderId="64" xfId="0" applyFont="1" applyFill="1" applyBorder="1" applyAlignment="1">
      <alignment horizontal="center" vertical="center" wrapText="1"/>
    </xf>
    <xf numFmtId="0" fontId="75" fillId="40" borderId="0" xfId="0" applyFont="1" applyFill="1" applyAlignment="1">
      <alignment/>
    </xf>
    <xf numFmtId="0" fontId="75" fillId="34" borderId="0" xfId="0" applyFont="1" applyFill="1" applyAlignment="1">
      <alignment/>
    </xf>
    <xf numFmtId="0" fontId="30" fillId="34" borderId="0" xfId="0" applyFont="1" applyFill="1" applyAlignment="1">
      <alignment vertical="center"/>
    </xf>
    <xf numFmtId="0" fontId="3" fillId="35" borderId="33" xfId="0" applyFont="1" applyFill="1" applyBorder="1" applyAlignment="1">
      <alignment horizontal="left" vertical="top" wrapText="1"/>
    </xf>
    <xf numFmtId="0" fontId="3" fillId="35" borderId="36" xfId="0" applyFont="1" applyFill="1" applyBorder="1" applyAlignment="1">
      <alignment horizontal="left" vertical="top" wrapText="1"/>
    </xf>
    <xf numFmtId="0" fontId="2" fillId="34" borderId="39" xfId="0" applyFont="1" applyFill="1" applyBorder="1" applyAlignment="1">
      <alignment horizontal="center"/>
    </xf>
    <xf numFmtId="0" fontId="3" fillId="34" borderId="39" xfId="0" applyFont="1" applyFill="1" applyBorder="1" applyAlignment="1">
      <alignment horizontal="left"/>
    </xf>
    <xf numFmtId="0" fontId="12" fillId="35" borderId="33" xfId="0" applyNumberFormat="1" applyFont="1" applyFill="1" applyBorder="1" applyAlignment="1">
      <alignment horizontal="left" vertical="top" wrapText="1"/>
    </xf>
    <xf numFmtId="0" fontId="0" fillId="35" borderId="35" xfId="0" applyFill="1" applyBorder="1" applyAlignment="1">
      <alignment horizontal="left" vertical="top" wrapText="1"/>
    </xf>
    <xf numFmtId="0" fontId="3" fillId="34" borderId="0" xfId="0" applyFont="1" applyFill="1" applyAlignment="1">
      <alignment horizontal="left"/>
    </xf>
    <xf numFmtId="0" fontId="4" fillId="36" borderId="54" xfId="0" applyFont="1" applyFill="1" applyBorder="1" applyAlignment="1">
      <alignment horizontal="center"/>
    </xf>
    <xf numFmtId="0" fontId="4" fillId="36" borderId="44" xfId="0" applyFont="1" applyFill="1" applyBorder="1" applyAlignment="1">
      <alignment horizontal="center"/>
    </xf>
    <xf numFmtId="0" fontId="4" fillId="36" borderId="54" xfId="0" applyFont="1" applyFill="1" applyBorder="1" applyAlignment="1">
      <alignment horizontal="center" vertical="center"/>
    </xf>
    <xf numFmtId="0" fontId="4" fillId="36" borderId="44" xfId="0" applyFont="1" applyFill="1" applyBorder="1" applyAlignment="1">
      <alignment horizontal="center" vertical="center"/>
    </xf>
    <xf numFmtId="0" fontId="3" fillId="36" borderId="65" xfId="0" applyFont="1" applyFill="1" applyBorder="1" applyAlignment="1">
      <alignment horizontal="center" wrapText="1"/>
    </xf>
    <xf numFmtId="0" fontId="3" fillId="36" borderId="66" xfId="0" applyFont="1" applyFill="1" applyBorder="1" applyAlignment="1">
      <alignment horizontal="center" wrapText="1"/>
    </xf>
    <xf numFmtId="0" fontId="3" fillId="36" borderId="21" xfId="0" applyFont="1" applyFill="1" applyBorder="1" applyAlignment="1">
      <alignment horizontal="left"/>
    </xf>
    <xf numFmtId="0" fontId="3" fillId="36" borderId="22" xfId="0" applyFont="1" applyFill="1" applyBorder="1" applyAlignment="1">
      <alignment horizontal="left"/>
    </xf>
    <xf numFmtId="0" fontId="3" fillId="36" borderId="23" xfId="0" applyFont="1" applyFill="1" applyBorder="1" applyAlignment="1">
      <alignment horizontal="left"/>
    </xf>
    <xf numFmtId="0" fontId="3" fillId="36" borderId="45" xfId="0" applyFont="1" applyFill="1" applyBorder="1" applyAlignment="1">
      <alignment horizontal="left"/>
    </xf>
    <xf numFmtId="0" fontId="3" fillId="36" borderId="17" xfId="0" applyFont="1" applyFill="1" applyBorder="1" applyAlignment="1">
      <alignment horizontal="left"/>
    </xf>
    <xf numFmtId="0" fontId="3" fillId="36" borderId="46" xfId="0" applyFont="1" applyFill="1" applyBorder="1" applyAlignment="1">
      <alignment horizontal="center" wrapText="1"/>
    </xf>
    <xf numFmtId="0" fontId="3" fillId="36" borderId="18" xfId="0" applyFont="1" applyFill="1" applyBorder="1" applyAlignment="1">
      <alignment horizontal="center" wrapText="1"/>
    </xf>
    <xf numFmtId="0" fontId="2" fillId="36" borderId="59" xfId="0" applyFont="1" applyFill="1" applyBorder="1" applyAlignment="1">
      <alignment horizontal="center" vertical="center" wrapText="1"/>
    </xf>
    <xf numFmtId="0" fontId="2" fillId="36" borderId="61"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0" fillId="41" borderId="0" xfId="0" applyFont="1" applyFill="1" applyBorder="1" applyAlignment="1">
      <alignment horizontal="center"/>
    </xf>
    <xf numFmtId="49" fontId="20" fillId="35" borderId="24" xfId="0" applyNumberFormat="1" applyFont="1" applyFill="1" applyBorder="1" applyAlignment="1">
      <alignment horizontal="left" vertical="top" wrapText="1"/>
    </xf>
    <xf numFmtId="49" fontId="12" fillId="35" borderId="24" xfId="0" applyNumberFormat="1" applyFont="1" applyFill="1" applyBorder="1" applyAlignment="1">
      <alignment horizontal="left" vertical="top" wrapText="1"/>
    </xf>
    <xf numFmtId="49" fontId="21" fillId="35" borderId="24" xfId="0" applyNumberFormat="1" applyFont="1" applyFill="1" applyBorder="1" applyAlignment="1">
      <alignment horizontal="left" vertical="top" wrapText="1"/>
    </xf>
    <xf numFmtId="0" fontId="21" fillId="35" borderId="24" xfId="0" applyFont="1" applyFill="1" applyBorder="1" applyAlignment="1">
      <alignment horizontal="left" vertical="top" wrapText="1"/>
    </xf>
    <xf numFmtId="0" fontId="12" fillId="35" borderId="24" xfId="0" applyFont="1" applyFill="1" applyBorder="1" applyAlignment="1">
      <alignment horizontal="left" vertical="top" wrapText="1"/>
    </xf>
    <xf numFmtId="0" fontId="22" fillId="39" borderId="24" xfId="0" applyFont="1" applyFill="1" applyBorder="1" applyAlignment="1">
      <alignment vertical="top"/>
    </xf>
    <xf numFmtId="0" fontId="0" fillId="39" borderId="24" xfId="0" applyFill="1" applyBorder="1" applyAlignment="1">
      <alignment vertical="top"/>
    </xf>
    <xf numFmtId="0" fontId="18" fillId="33" borderId="14" xfId="0" applyFont="1" applyFill="1" applyBorder="1" applyAlignment="1">
      <alignment horizontal="center" wrapText="1"/>
    </xf>
    <xf numFmtId="0" fontId="18" fillId="33" borderId="15" xfId="0" applyFont="1" applyFill="1" applyBorder="1" applyAlignment="1">
      <alignment horizontal="center" wrapText="1"/>
    </xf>
    <xf numFmtId="0" fontId="18" fillId="33" borderId="16" xfId="0" applyFont="1" applyFill="1" applyBorder="1" applyAlignment="1">
      <alignment horizontal="center" wrapText="1"/>
    </xf>
    <xf numFmtId="0" fontId="18" fillId="33" borderId="49" xfId="0" applyFont="1" applyFill="1" applyBorder="1" applyAlignment="1">
      <alignment horizontal="center" wrapText="1"/>
    </xf>
    <xf numFmtId="0" fontId="4" fillId="34" borderId="67" xfId="0" applyFont="1" applyFill="1" applyBorder="1" applyAlignment="1">
      <alignment horizontal="left" vertical="top" wrapText="1"/>
    </xf>
    <xf numFmtId="0" fontId="4" fillId="34" borderId="12" xfId="0" applyFont="1" applyFill="1" applyBorder="1" applyAlignment="1">
      <alignment horizontal="left" vertical="top" wrapText="1"/>
    </xf>
    <xf numFmtId="0" fontId="4" fillId="34" borderId="0" xfId="0" applyFont="1" applyFill="1" applyBorder="1" applyAlignment="1">
      <alignment horizontal="left" wrapText="1"/>
    </xf>
    <xf numFmtId="0" fontId="4" fillId="34" borderId="12" xfId="0" applyFont="1" applyFill="1" applyBorder="1" applyAlignment="1">
      <alignment horizontal="left" wrapText="1"/>
    </xf>
    <xf numFmtId="0" fontId="4" fillId="34" borderId="67" xfId="0" applyFont="1" applyFill="1" applyBorder="1" applyAlignment="1">
      <alignment horizontal="left" wrapText="1"/>
    </xf>
    <xf numFmtId="0" fontId="4" fillId="34" borderId="34" xfId="0" applyFont="1" applyFill="1" applyBorder="1" applyAlignment="1">
      <alignment horizontal="left" wrapText="1"/>
    </xf>
    <xf numFmtId="0" fontId="3" fillId="34" borderId="48" xfId="0" applyFont="1" applyFill="1" applyBorder="1" applyAlignment="1">
      <alignment horizontal="center" wrapText="1"/>
    </xf>
    <xf numFmtId="0" fontId="3" fillId="34" borderId="49" xfId="0" applyFont="1" applyFill="1" applyBorder="1" applyAlignment="1">
      <alignment horizontal="center" wrapText="1"/>
    </xf>
    <xf numFmtId="0" fontId="3" fillId="34" borderId="12" xfId="0" applyFont="1" applyFill="1" applyBorder="1" applyAlignment="1">
      <alignment horizontal="left"/>
    </xf>
    <xf numFmtId="0" fontId="3" fillId="34" borderId="10" xfId="0" applyFont="1" applyFill="1" applyBorder="1" applyAlignment="1">
      <alignment horizontal="left"/>
    </xf>
    <xf numFmtId="0" fontId="3" fillId="34" borderId="14" xfId="0" applyFont="1" applyFill="1" applyBorder="1" applyAlignment="1">
      <alignment horizontal="center" wrapText="1"/>
    </xf>
    <xf numFmtId="0" fontId="3" fillId="34" borderId="15" xfId="0" applyFont="1" applyFill="1" applyBorder="1" applyAlignment="1">
      <alignment horizontal="center" wrapText="1"/>
    </xf>
    <xf numFmtId="0" fontId="3" fillId="34" borderId="68" xfId="0" applyFont="1" applyFill="1" applyBorder="1" applyAlignment="1">
      <alignment horizontal="center" wrapText="1"/>
    </xf>
    <xf numFmtId="0" fontId="3" fillId="34" borderId="50" xfId="0" applyFont="1" applyFill="1" applyBorder="1" applyAlignment="1">
      <alignment horizontal="center" wrapText="1"/>
    </xf>
    <xf numFmtId="0" fontId="3" fillId="34" borderId="69" xfId="0" applyFont="1" applyFill="1" applyBorder="1" applyAlignment="1">
      <alignment horizontal="center" wrapText="1"/>
    </xf>
    <xf numFmtId="0" fontId="3" fillId="34" borderId="46" xfId="0" applyFont="1" applyFill="1" applyBorder="1" applyAlignment="1">
      <alignment horizontal="center" wrapText="1"/>
    </xf>
    <xf numFmtId="0" fontId="20" fillId="2" borderId="22"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 fillId="36" borderId="45"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1" xfId="0" applyFont="1" applyFill="1" applyBorder="1" applyAlignment="1">
      <alignment horizontal="center" vertical="center"/>
    </xf>
    <xf numFmtId="0" fontId="12" fillId="35" borderId="21" xfId="0" applyFont="1" applyFill="1" applyBorder="1" applyAlignment="1">
      <alignment horizontal="left" vertical="top" wrapText="1"/>
    </xf>
    <xf numFmtId="0" fontId="12" fillId="35" borderId="22" xfId="0" applyFont="1" applyFill="1" applyBorder="1" applyAlignment="1">
      <alignment horizontal="left" vertical="top" wrapText="1"/>
    </xf>
    <xf numFmtId="0" fontId="12" fillId="35" borderId="23"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s>
</file>

<file path=xl/drawings/_rels/drawing4.xml.rels><?xml version="1.0" encoding="utf-8" standalone="yes"?><Relationships xmlns="http://schemas.openxmlformats.org/package/2006/relationships"><Relationship Id="rId1" Type="http://schemas.openxmlformats.org/officeDocument/2006/relationships/hyperlink" Target="#'Units Conversion Help'!A1" /><Relationship Id="rId2" Type="http://schemas.openxmlformats.org/officeDocument/2006/relationships/image" Target="../media/image1.wmf" /><Relationship Id="rId3" Type="http://schemas.openxmlformats.org/officeDocument/2006/relationships/image" Target="../media/image2.wmf" /><Relationship Id="rId4" Type="http://schemas.openxmlformats.org/officeDocument/2006/relationships/image" Target="../media/image3.wmf" /><Relationship Id="rId5" Type="http://schemas.openxmlformats.org/officeDocument/2006/relationships/hyperlink" Target="#Calculations!A1" /><Relationship Id="rId6" Type="http://schemas.openxmlformats.org/officeDocument/2006/relationships/hyperlink" Target="#'Input-Output'!A1" /><Relationship Id="rId7" Type="http://schemas.openxmlformats.org/officeDocument/2006/relationships/hyperlink" Target="#Instructions!A1" /><Relationship Id="rId8" Type="http://schemas.openxmlformats.org/officeDocument/2006/relationships/hyperlink" Target="#Referenc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29</xdr:row>
      <xdr:rowOff>38100</xdr:rowOff>
    </xdr:from>
    <xdr:to>
      <xdr:col>3</xdr:col>
      <xdr:colOff>371475</xdr:colOff>
      <xdr:row>32</xdr:row>
      <xdr:rowOff>28575</xdr:rowOff>
    </xdr:to>
    <xdr:pic>
      <xdr:nvPicPr>
        <xdr:cNvPr id="1" name="Picture 11" descr="Toronto647.wmf"/>
        <xdr:cNvPicPr preferRelativeResize="1">
          <a:picLocks noChangeAspect="1"/>
        </xdr:cNvPicPr>
      </xdr:nvPicPr>
      <xdr:blipFill>
        <a:blip r:embed="rId1"/>
        <a:stretch>
          <a:fillRect/>
        </a:stretch>
      </xdr:blipFill>
      <xdr:spPr>
        <a:xfrm>
          <a:off x="1847850" y="8629650"/>
          <a:ext cx="1790700" cy="561975"/>
        </a:xfrm>
        <a:prstGeom prst="rect">
          <a:avLst/>
        </a:prstGeom>
        <a:noFill/>
        <a:ln w="9525" cmpd="sng">
          <a:noFill/>
        </a:ln>
      </xdr:spPr>
    </xdr:pic>
    <xdr:clientData/>
  </xdr:twoCellAnchor>
  <xdr:twoCellAnchor editAs="oneCell">
    <xdr:from>
      <xdr:col>3</xdr:col>
      <xdr:colOff>3771900</xdr:colOff>
      <xdr:row>29</xdr:row>
      <xdr:rowOff>152400</xdr:rowOff>
    </xdr:from>
    <xdr:to>
      <xdr:col>4</xdr:col>
      <xdr:colOff>66675</xdr:colOff>
      <xdr:row>32</xdr:row>
      <xdr:rowOff>104775</xdr:rowOff>
    </xdr:to>
    <xdr:pic>
      <xdr:nvPicPr>
        <xdr:cNvPr id="2" name="Picture 13" descr="livegreen_B.wmf"/>
        <xdr:cNvPicPr preferRelativeResize="1">
          <a:picLocks noChangeAspect="1"/>
        </xdr:cNvPicPr>
      </xdr:nvPicPr>
      <xdr:blipFill>
        <a:blip r:embed="rId2"/>
        <a:stretch>
          <a:fillRect/>
        </a:stretch>
      </xdr:blipFill>
      <xdr:spPr>
        <a:xfrm>
          <a:off x="7038975" y="8743950"/>
          <a:ext cx="1762125" cy="523875"/>
        </a:xfrm>
        <a:prstGeom prst="rect">
          <a:avLst/>
        </a:prstGeom>
        <a:noFill/>
        <a:ln w="9525" cmpd="sng">
          <a:noFill/>
        </a:ln>
      </xdr:spPr>
    </xdr:pic>
    <xdr:clientData/>
  </xdr:twoCellAnchor>
  <xdr:twoCellAnchor editAs="oneCell">
    <xdr:from>
      <xdr:col>2</xdr:col>
      <xdr:colOff>0</xdr:colOff>
      <xdr:row>0</xdr:row>
      <xdr:rowOff>0</xdr:rowOff>
    </xdr:from>
    <xdr:to>
      <xdr:col>3</xdr:col>
      <xdr:colOff>1057275</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828800" y="0"/>
          <a:ext cx="2495550" cy="561975"/>
        </a:xfrm>
        <a:prstGeom prst="rect">
          <a:avLst/>
        </a:prstGeom>
        <a:noFill/>
        <a:ln w="9525" cmpd="sng">
          <a:noFill/>
        </a:ln>
      </xdr:spPr>
    </xdr:pic>
    <xdr:clientData/>
  </xdr:twoCellAnchor>
  <xdr:twoCellAnchor>
    <xdr:from>
      <xdr:col>1</xdr:col>
      <xdr:colOff>38100</xdr:colOff>
      <xdr:row>10</xdr:row>
      <xdr:rowOff>180975</xdr:rowOff>
    </xdr:from>
    <xdr:to>
      <xdr:col>1</xdr:col>
      <xdr:colOff>1066800</xdr:colOff>
      <xdr:row>12</xdr:row>
      <xdr:rowOff>142875</xdr:rowOff>
    </xdr:to>
    <xdr:grpSp>
      <xdr:nvGrpSpPr>
        <xdr:cNvPr id="4" name="Group 830"/>
        <xdr:cNvGrpSpPr>
          <a:grpSpLocks/>
        </xdr:cNvGrpSpPr>
      </xdr:nvGrpSpPr>
      <xdr:grpSpPr>
        <a:xfrm>
          <a:off x="733425" y="3209925"/>
          <a:ext cx="1028700" cy="561975"/>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6</xdr:row>
      <xdr:rowOff>9525</xdr:rowOff>
    </xdr:from>
    <xdr:to>
      <xdr:col>1</xdr:col>
      <xdr:colOff>1047750</xdr:colOff>
      <xdr:row>7</xdr:row>
      <xdr:rowOff>295275</xdr:rowOff>
    </xdr:to>
    <xdr:grpSp>
      <xdr:nvGrpSpPr>
        <xdr:cNvPr id="7" name="Group 833"/>
        <xdr:cNvGrpSpPr>
          <a:grpSpLocks/>
        </xdr:cNvGrpSpPr>
      </xdr:nvGrpSpPr>
      <xdr:grpSpPr>
        <a:xfrm>
          <a:off x="695325" y="2076450"/>
          <a:ext cx="1047750" cy="457200"/>
          <a:chOff x="40" y="187"/>
          <a:chExt cx="110" cy="32"/>
        </a:xfrm>
        <a:solidFill>
          <a:srgbClr val="FFFFFF"/>
        </a:solidFill>
      </xdr:grpSpPr>
      <xdr:sp>
        <xdr:nvSpPr>
          <xdr:cNvPr id="8"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1">
            <a:hlinkClick r:id="rId5"/>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5</xdr:row>
      <xdr:rowOff>47625</xdr:rowOff>
    </xdr:from>
    <xdr:to>
      <xdr:col>1</xdr:col>
      <xdr:colOff>1028700</xdr:colOff>
      <xdr:row>5</xdr:row>
      <xdr:rowOff>381000</xdr:rowOff>
    </xdr:to>
    <xdr:grpSp>
      <xdr:nvGrpSpPr>
        <xdr:cNvPr id="10" name="Group 836"/>
        <xdr:cNvGrpSpPr>
          <a:grpSpLocks/>
        </xdr:cNvGrpSpPr>
      </xdr:nvGrpSpPr>
      <xdr:grpSpPr>
        <a:xfrm>
          <a:off x="695325" y="1504950"/>
          <a:ext cx="1028700" cy="333375"/>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5"/>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12</xdr:row>
      <xdr:rowOff>295275</xdr:rowOff>
    </xdr:from>
    <xdr:to>
      <xdr:col>1</xdr:col>
      <xdr:colOff>1000125</xdr:colOff>
      <xdr:row>14</xdr:row>
      <xdr:rowOff>0</xdr:rowOff>
    </xdr:to>
    <xdr:grpSp>
      <xdr:nvGrpSpPr>
        <xdr:cNvPr id="13" name="Group 839"/>
        <xdr:cNvGrpSpPr>
          <a:grpSpLocks/>
        </xdr:cNvGrpSpPr>
      </xdr:nvGrpSpPr>
      <xdr:grpSpPr>
        <a:xfrm>
          <a:off x="762000" y="3924300"/>
          <a:ext cx="933450" cy="504825"/>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28575</xdr:colOff>
      <xdr:row>4</xdr:row>
      <xdr:rowOff>114300</xdr:rowOff>
    </xdr:from>
    <xdr:to>
      <xdr:col>0</xdr:col>
      <xdr:colOff>676275</xdr:colOff>
      <xdr:row>5</xdr:row>
      <xdr:rowOff>390525</xdr:rowOff>
    </xdr:to>
    <xdr:grpSp>
      <xdr:nvGrpSpPr>
        <xdr:cNvPr id="16" name="Group 842"/>
        <xdr:cNvGrpSpPr>
          <a:grpSpLocks/>
        </xdr:cNvGrpSpPr>
      </xdr:nvGrpSpPr>
      <xdr:grpSpPr>
        <a:xfrm>
          <a:off x="28575" y="1457325"/>
          <a:ext cx="647700" cy="390525"/>
          <a:chOff x="2" y="119"/>
          <a:chExt cx="45" cy="53"/>
        </a:xfrm>
        <a:solidFill>
          <a:srgbClr val="FFFFFF"/>
        </a:solidFill>
      </xdr:grpSpPr>
      <xdr:sp>
        <xdr:nvSpPr>
          <xdr:cNvPr id="17" name="AutoShape 84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844"/>
          <xdr:cNvSpPr txBox="1">
            <a:spLocks noChangeArrowheads="1"/>
          </xdr:cNvSpPr>
        </xdr:nvSpPr>
        <xdr:spPr>
          <a:xfrm>
            <a:off x="4" y="138"/>
            <a:ext cx="41" cy="24"/>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Times New Roman"/>
                <a:ea typeface="Times New Roman"/>
                <a:cs typeface="Times New Roman"/>
              </a:rPr>
              <a:t>You are </a:t>
            </a:r>
            <a:r>
              <a:rPr lang="en-US" cap="none" sz="700" b="1" i="0" u="none" baseline="0">
                <a:solidFill>
                  <a:srgbClr val="000000"/>
                </a:solidFill>
                <a:latin typeface="Times New Roman"/>
                <a:ea typeface="Times New Roman"/>
                <a:cs typeface="Times New Roman"/>
              </a:rPr>
              <a:t>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47</xdr:row>
      <xdr:rowOff>0</xdr:rowOff>
    </xdr:from>
    <xdr:to>
      <xdr:col>3</xdr:col>
      <xdr:colOff>1171575</xdr:colOff>
      <xdr:row>49</xdr:row>
      <xdr:rowOff>152400</xdr:rowOff>
    </xdr:to>
    <xdr:pic>
      <xdr:nvPicPr>
        <xdr:cNvPr id="1" name="Picture 11" descr="Toronto647.wmf"/>
        <xdr:cNvPicPr preferRelativeResize="1">
          <a:picLocks noChangeAspect="1"/>
        </xdr:cNvPicPr>
      </xdr:nvPicPr>
      <xdr:blipFill>
        <a:blip r:embed="rId1"/>
        <a:stretch>
          <a:fillRect/>
        </a:stretch>
      </xdr:blipFill>
      <xdr:spPr>
        <a:xfrm>
          <a:off x="1781175" y="12277725"/>
          <a:ext cx="1781175" cy="552450"/>
        </a:xfrm>
        <a:prstGeom prst="rect">
          <a:avLst/>
        </a:prstGeom>
        <a:noFill/>
        <a:ln w="9525" cmpd="sng">
          <a:noFill/>
        </a:ln>
      </xdr:spPr>
    </xdr:pic>
    <xdr:clientData/>
  </xdr:twoCellAnchor>
  <xdr:twoCellAnchor editAs="oneCell">
    <xdr:from>
      <xdr:col>7</xdr:col>
      <xdr:colOff>114300</xdr:colOff>
      <xdr:row>47</xdr:row>
      <xdr:rowOff>123825</xdr:rowOff>
    </xdr:from>
    <xdr:to>
      <xdr:col>9</xdr:col>
      <xdr:colOff>104775</xdr:colOff>
      <xdr:row>50</xdr:row>
      <xdr:rowOff>28575</xdr:rowOff>
    </xdr:to>
    <xdr:pic>
      <xdr:nvPicPr>
        <xdr:cNvPr id="2" name="Picture 13" descr="livegreen_B.wmf"/>
        <xdr:cNvPicPr preferRelativeResize="1">
          <a:picLocks noChangeAspect="1"/>
        </xdr:cNvPicPr>
      </xdr:nvPicPr>
      <xdr:blipFill>
        <a:blip r:embed="rId2"/>
        <a:stretch>
          <a:fillRect/>
        </a:stretch>
      </xdr:blipFill>
      <xdr:spPr>
        <a:xfrm>
          <a:off x="7458075" y="12401550"/>
          <a:ext cx="1762125"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1885950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81175" y="0"/>
          <a:ext cx="2495550" cy="561975"/>
        </a:xfrm>
        <a:prstGeom prst="rect">
          <a:avLst/>
        </a:prstGeom>
        <a:noFill/>
        <a:ln w="9525" cmpd="sng">
          <a:noFill/>
        </a:ln>
      </xdr:spPr>
    </xdr:pic>
    <xdr:clientData/>
  </xdr:twoCellAnchor>
  <xdr:twoCellAnchor>
    <xdr:from>
      <xdr:col>1</xdr:col>
      <xdr:colOff>19050</xdr:colOff>
      <xdr:row>6</xdr:row>
      <xdr:rowOff>190500</xdr:rowOff>
    </xdr:from>
    <xdr:to>
      <xdr:col>1</xdr:col>
      <xdr:colOff>1047750</xdr:colOff>
      <xdr:row>6</xdr:row>
      <xdr:rowOff>561975</xdr:rowOff>
    </xdr:to>
    <xdr:grpSp>
      <xdr:nvGrpSpPr>
        <xdr:cNvPr id="4" name="Group 871"/>
        <xdr:cNvGrpSpPr>
          <a:grpSpLocks/>
        </xdr:cNvGrpSpPr>
      </xdr:nvGrpSpPr>
      <xdr:grpSpPr>
        <a:xfrm>
          <a:off x="666750" y="2409825"/>
          <a:ext cx="1019175" cy="371475"/>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5</xdr:row>
      <xdr:rowOff>28575</xdr:rowOff>
    </xdr:from>
    <xdr:to>
      <xdr:col>1</xdr:col>
      <xdr:colOff>1019175</xdr:colOff>
      <xdr:row>5</xdr:row>
      <xdr:rowOff>361950</xdr:rowOff>
    </xdr:to>
    <xdr:grpSp>
      <xdr:nvGrpSpPr>
        <xdr:cNvPr id="7" name="Group 874"/>
        <xdr:cNvGrpSpPr>
          <a:grpSpLocks/>
        </xdr:cNvGrpSpPr>
      </xdr:nvGrpSpPr>
      <xdr:grpSpPr>
        <a:xfrm>
          <a:off x="647700" y="1828800"/>
          <a:ext cx="1019175" cy="323850"/>
          <a:chOff x="40" y="187"/>
          <a:chExt cx="108" cy="32"/>
        </a:xfrm>
        <a:solidFill>
          <a:srgbClr val="FFFFFF"/>
        </a:solidFill>
      </xdr:grpSpPr>
      <xdr:sp>
        <xdr:nvSpPr>
          <xdr:cNvPr id="8"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1">
            <a:hlinkClick r:id="rId5"/>
          </xdr:cNvPr>
          <xdr:cNvSpPr txBox="1">
            <a:spLocks noChangeArrowheads="1"/>
          </xdr:cNvSpPr>
        </xdr:nvSpPr>
        <xdr:spPr>
          <a:xfrm>
            <a:off x="42" y="192"/>
            <a:ext cx="103"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47625</xdr:rowOff>
    </xdr:from>
    <xdr:to>
      <xdr:col>1</xdr:col>
      <xdr:colOff>1028700</xdr:colOff>
      <xdr:row>4</xdr:row>
      <xdr:rowOff>352425</xdr:rowOff>
    </xdr:to>
    <xdr:grpSp>
      <xdr:nvGrpSpPr>
        <xdr:cNvPr id="10" name="Group 877"/>
        <xdr:cNvGrpSpPr>
          <a:grpSpLocks/>
        </xdr:cNvGrpSpPr>
      </xdr:nvGrpSpPr>
      <xdr:grpSpPr>
        <a:xfrm>
          <a:off x="647700" y="1371600"/>
          <a:ext cx="1028700" cy="314325"/>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3"/>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47625</xdr:colOff>
      <xdr:row>7</xdr:row>
      <xdr:rowOff>161925</xdr:rowOff>
    </xdr:from>
    <xdr:to>
      <xdr:col>1</xdr:col>
      <xdr:colOff>981075</xdr:colOff>
      <xdr:row>9</xdr:row>
      <xdr:rowOff>66675</xdr:rowOff>
    </xdr:to>
    <xdr:grpSp>
      <xdr:nvGrpSpPr>
        <xdr:cNvPr id="13" name="Group 880"/>
        <xdr:cNvGrpSpPr>
          <a:grpSpLocks/>
        </xdr:cNvGrpSpPr>
      </xdr:nvGrpSpPr>
      <xdr:grpSpPr>
        <a:xfrm>
          <a:off x="695325" y="3009900"/>
          <a:ext cx="933450" cy="333375"/>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6"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28575</xdr:colOff>
      <xdr:row>4</xdr:row>
      <xdr:rowOff>352425</xdr:rowOff>
    </xdr:from>
    <xdr:to>
      <xdr:col>0</xdr:col>
      <xdr:colOff>609600</xdr:colOff>
      <xdr:row>6</xdr:row>
      <xdr:rowOff>9525</xdr:rowOff>
    </xdr:to>
    <xdr:grpSp>
      <xdr:nvGrpSpPr>
        <xdr:cNvPr id="16" name="Group 883"/>
        <xdr:cNvGrpSpPr>
          <a:grpSpLocks/>
        </xdr:cNvGrpSpPr>
      </xdr:nvGrpSpPr>
      <xdr:grpSpPr>
        <a:xfrm>
          <a:off x="28575" y="1676400"/>
          <a:ext cx="581025" cy="552450"/>
          <a:chOff x="2" y="119"/>
          <a:chExt cx="45" cy="53"/>
        </a:xfrm>
        <a:solidFill>
          <a:srgbClr val="FFFFFF"/>
        </a:solidFill>
      </xdr:grpSpPr>
      <xdr:sp>
        <xdr:nvSpPr>
          <xdr:cNvPr id="17" name="AutoShape 884"/>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885"/>
          <xdr:cNvSpPr txBox="1">
            <a:spLocks noChangeArrowheads="1"/>
          </xdr:cNvSpPr>
        </xdr:nvSpPr>
        <xdr:spPr>
          <a:xfrm>
            <a:off x="3" y="139"/>
            <a:ext cx="41" cy="27"/>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400050</xdr:colOff>
      <xdr:row>216</xdr:row>
      <xdr:rowOff>523875</xdr:rowOff>
    </xdr:from>
    <xdr:to>
      <xdr:col>20</xdr:col>
      <xdr:colOff>114300</xdr:colOff>
      <xdr:row>223</xdr:row>
      <xdr:rowOff>114300</xdr:rowOff>
    </xdr:to>
    <xdr:sp>
      <xdr:nvSpPr>
        <xdr:cNvPr id="1" name="Line Callout 2 30"/>
        <xdr:cNvSpPr>
          <a:spLocks/>
        </xdr:cNvSpPr>
      </xdr:nvSpPr>
      <xdr:spPr>
        <a:xfrm>
          <a:off x="17325975" y="44634150"/>
          <a:ext cx="2152650" cy="2628900"/>
        </a:xfrm>
        <a:prstGeom prst="borderCallout2">
          <a:avLst>
            <a:gd name="adj" fmla="val 86694"/>
          </a:avLst>
        </a:prstGeom>
        <a:solidFill>
          <a:srgbClr val="FF0000"/>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Where are these EFs?</a:t>
          </a:r>
        </a:p>
      </xdr:txBody>
    </xdr:sp>
    <xdr:clientData/>
  </xdr:twoCellAnchor>
  <xdr:twoCellAnchor>
    <xdr:from>
      <xdr:col>16</xdr:col>
      <xdr:colOff>76200</xdr:colOff>
      <xdr:row>228</xdr:row>
      <xdr:rowOff>85725</xdr:rowOff>
    </xdr:from>
    <xdr:to>
      <xdr:col>17</xdr:col>
      <xdr:colOff>485775</xdr:colOff>
      <xdr:row>230</xdr:row>
      <xdr:rowOff>66675</xdr:rowOff>
    </xdr:to>
    <xdr:sp>
      <xdr:nvSpPr>
        <xdr:cNvPr id="2" name="Line Callout 2 33"/>
        <xdr:cNvSpPr>
          <a:spLocks/>
        </xdr:cNvSpPr>
      </xdr:nvSpPr>
      <xdr:spPr>
        <a:xfrm>
          <a:off x="17002125" y="48310800"/>
          <a:ext cx="1019175" cy="514350"/>
        </a:xfrm>
        <a:prstGeom prst="borderCallout2">
          <a:avLst>
            <a:gd name="adj1" fmla="val -54611"/>
            <a:gd name="adj2" fmla="val -194907"/>
          </a:avLst>
        </a:prstGeom>
        <a:solidFill>
          <a:srgbClr val="FF0000"/>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Spelling</a:t>
          </a:r>
        </a:p>
      </xdr:txBody>
    </xdr:sp>
    <xdr:clientData/>
  </xdr:twoCellAnchor>
  <xdr:twoCellAnchor editAs="oneCell">
    <xdr:from>
      <xdr:col>2</xdr:col>
      <xdr:colOff>0</xdr:colOff>
      <xdr:row>246</xdr:row>
      <xdr:rowOff>0</xdr:rowOff>
    </xdr:from>
    <xdr:to>
      <xdr:col>2</xdr:col>
      <xdr:colOff>1781175</xdr:colOff>
      <xdr:row>248</xdr:row>
      <xdr:rowOff>142875</xdr:rowOff>
    </xdr:to>
    <xdr:pic>
      <xdr:nvPicPr>
        <xdr:cNvPr id="3" name="Picture 11" descr="Toronto647.wmf"/>
        <xdr:cNvPicPr preferRelativeResize="1">
          <a:picLocks noChangeAspect="1"/>
        </xdr:cNvPicPr>
      </xdr:nvPicPr>
      <xdr:blipFill>
        <a:blip r:embed="rId1"/>
        <a:stretch>
          <a:fillRect/>
        </a:stretch>
      </xdr:blipFill>
      <xdr:spPr>
        <a:xfrm>
          <a:off x="1828800" y="52073175"/>
          <a:ext cx="1781175" cy="533400"/>
        </a:xfrm>
        <a:prstGeom prst="rect">
          <a:avLst/>
        </a:prstGeom>
        <a:noFill/>
        <a:ln w="9525" cmpd="sng">
          <a:noFill/>
        </a:ln>
      </xdr:spPr>
    </xdr:pic>
    <xdr:clientData/>
  </xdr:twoCellAnchor>
  <xdr:twoCellAnchor editAs="oneCell">
    <xdr:from>
      <xdr:col>8</xdr:col>
      <xdr:colOff>600075</xdr:colOff>
      <xdr:row>245</xdr:row>
      <xdr:rowOff>95250</xdr:rowOff>
    </xdr:from>
    <xdr:to>
      <xdr:col>10</xdr:col>
      <xdr:colOff>476250</xdr:colOff>
      <xdr:row>248</xdr:row>
      <xdr:rowOff>9525</xdr:rowOff>
    </xdr:to>
    <xdr:pic>
      <xdr:nvPicPr>
        <xdr:cNvPr id="4" name="Picture 13" descr="livegreen_B.wmf"/>
        <xdr:cNvPicPr preferRelativeResize="1">
          <a:picLocks noChangeAspect="1"/>
        </xdr:cNvPicPr>
      </xdr:nvPicPr>
      <xdr:blipFill>
        <a:blip r:embed="rId2"/>
        <a:stretch>
          <a:fillRect/>
        </a:stretch>
      </xdr:blipFill>
      <xdr:spPr>
        <a:xfrm>
          <a:off x="10706100" y="51977925"/>
          <a:ext cx="1762125" cy="495300"/>
        </a:xfrm>
        <a:prstGeom prst="rect">
          <a:avLst/>
        </a:prstGeom>
        <a:noFill/>
        <a:ln w="9525" cmpd="sng">
          <a:noFill/>
        </a:ln>
      </xdr:spPr>
    </xdr:pic>
    <xdr:clientData/>
  </xdr:twoCellAnchor>
  <xdr:twoCellAnchor editAs="oneCell">
    <xdr:from>
      <xdr:col>2</xdr:col>
      <xdr:colOff>0</xdr:colOff>
      <xdr:row>0</xdr:row>
      <xdr:rowOff>0</xdr:rowOff>
    </xdr:from>
    <xdr:to>
      <xdr:col>3</xdr:col>
      <xdr:colOff>66675</xdr:colOff>
      <xdr:row>0</xdr:row>
      <xdr:rowOff>561975</xdr:rowOff>
    </xdr:to>
    <xdr:pic>
      <xdr:nvPicPr>
        <xdr:cNvPr id="5" name="Picture 14" descr="ChemTRAC final logo.wmf"/>
        <xdr:cNvPicPr preferRelativeResize="1">
          <a:picLocks noChangeAspect="1"/>
        </xdr:cNvPicPr>
      </xdr:nvPicPr>
      <xdr:blipFill>
        <a:blip r:embed="rId3"/>
        <a:stretch>
          <a:fillRect/>
        </a:stretch>
      </xdr:blipFill>
      <xdr:spPr>
        <a:xfrm>
          <a:off x="1828800" y="0"/>
          <a:ext cx="2495550" cy="561975"/>
        </a:xfrm>
        <a:prstGeom prst="rect">
          <a:avLst/>
        </a:prstGeom>
        <a:noFill/>
        <a:ln w="9525" cmpd="sng">
          <a:noFill/>
        </a:ln>
      </xdr:spPr>
    </xdr:pic>
    <xdr:clientData/>
  </xdr:twoCellAnchor>
  <xdr:twoCellAnchor>
    <xdr:from>
      <xdr:col>1</xdr:col>
      <xdr:colOff>19050</xdr:colOff>
      <xdr:row>9</xdr:row>
      <xdr:rowOff>114300</xdr:rowOff>
    </xdr:from>
    <xdr:to>
      <xdr:col>1</xdr:col>
      <xdr:colOff>1038225</xdr:colOff>
      <xdr:row>11</xdr:row>
      <xdr:rowOff>47625</xdr:rowOff>
    </xdr:to>
    <xdr:grpSp>
      <xdr:nvGrpSpPr>
        <xdr:cNvPr id="6" name="Group 1572"/>
        <xdr:cNvGrpSpPr>
          <a:grpSpLocks/>
        </xdr:cNvGrpSpPr>
      </xdr:nvGrpSpPr>
      <xdr:grpSpPr>
        <a:xfrm>
          <a:off x="638175" y="3162300"/>
          <a:ext cx="1019175" cy="333375"/>
          <a:chOff x="51" y="433"/>
          <a:chExt cx="107" cy="31"/>
        </a:xfrm>
        <a:solidFill>
          <a:srgbClr val="FFFFFF"/>
        </a:solidFill>
      </xdr:grpSpPr>
      <xdr:sp>
        <xdr:nvSpPr>
          <xdr:cNvPr id="7"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8"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5</xdr:row>
      <xdr:rowOff>57150</xdr:rowOff>
    </xdr:from>
    <xdr:to>
      <xdr:col>1</xdr:col>
      <xdr:colOff>1066800</xdr:colOff>
      <xdr:row>5</xdr:row>
      <xdr:rowOff>381000</xdr:rowOff>
    </xdr:to>
    <xdr:grpSp>
      <xdr:nvGrpSpPr>
        <xdr:cNvPr id="9" name="Group 1575"/>
        <xdr:cNvGrpSpPr>
          <a:grpSpLocks/>
        </xdr:cNvGrpSpPr>
      </xdr:nvGrpSpPr>
      <xdr:grpSpPr>
        <a:xfrm>
          <a:off x="619125" y="1781175"/>
          <a:ext cx="1066800" cy="323850"/>
          <a:chOff x="40" y="187"/>
          <a:chExt cx="110" cy="32"/>
        </a:xfrm>
        <a:solidFill>
          <a:srgbClr val="FFFFFF"/>
        </a:solidFill>
      </xdr:grpSpPr>
      <xdr:sp>
        <xdr:nvSpPr>
          <xdr:cNvPr id="10"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1" name="TextBox 21">
            <a:hlinkClick r:id="rId5"/>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0</xdr:col>
      <xdr:colOff>571500</xdr:colOff>
      <xdr:row>4</xdr:row>
      <xdr:rowOff>28575</xdr:rowOff>
    </xdr:from>
    <xdr:to>
      <xdr:col>1</xdr:col>
      <xdr:colOff>1057275</xdr:colOff>
      <xdr:row>4</xdr:row>
      <xdr:rowOff>371475</xdr:rowOff>
    </xdr:to>
    <xdr:grpSp>
      <xdr:nvGrpSpPr>
        <xdr:cNvPr id="12" name="Group 1578"/>
        <xdr:cNvGrpSpPr>
          <a:grpSpLocks/>
        </xdr:cNvGrpSpPr>
      </xdr:nvGrpSpPr>
      <xdr:grpSpPr>
        <a:xfrm>
          <a:off x="571500" y="1285875"/>
          <a:ext cx="1104900" cy="342900"/>
          <a:chOff x="40" y="132"/>
          <a:chExt cx="108" cy="33"/>
        </a:xfrm>
        <a:solidFill>
          <a:srgbClr val="FFFFFF"/>
        </a:solidFill>
      </xdr:grpSpPr>
      <xdr:sp>
        <xdr:nvSpPr>
          <xdr:cNvPr id="13"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4" name="TextBox 22">
            <a:hlinkClick r:id="rId6"/>
          </xdr:cNvPr>
          <xdr:cNvSpPr txBox="1">
            <a:spLocks noChangeArrowheads="1"/>
          </xdr:cNvSpPr>
        </xdr:nvSpPr>
        <xdr:spPr>
          <a:xfrm>
            <a:off x="48" y="137"/>
            <a:ext cx="94" cy="28"/>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11</xdr:row>
      <xdr:rowOff>104775</xdr:rowOff>
    </xdr:from>
    <xdr:to>
      <xdr:col>1</xdr:col>
      <xdr:colOff>1000125</xdr:colOff>
      <xdr:row>12</xdr:row>
      <xdr:rowOff>190500</xdr:rowOff>
    </xdr:to>
    <xdr:grpSp>
      <xdr:nvGrpSpPr>
        <xdr:cNvPr id="15" name="Group 1581"/>
        <xdr:cNvGrpSpPr>
          <a:grpSpLocks/>
        </xdr:cNvGrpSpPr>
      </xdr:nvGrpSpPr>
      <xdr:grpSpPr>
        <a:xfrm>
          <a:off x="685800" y="3552825"/>
          <a:ext cx="933450" cy="285750"/>
          <a:chOff x="54" y="474"/>
          <a:chExt cx="98" cy="31"/>
        </a:xfrm>
        <a:solidFill>
          <a:srgbClr val="FFFFFF"/>
        </a:solidFill>
      </xdr:grpSpPr>
      <xdr:sp>
        <xdr:nvSpPr>
          <xdr:cNvPr id="16"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7" name="TextBox 24">
            <a:hlinkClick r:id="rId7"/>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38100</xdr:colOff>
      <xdr:row>9</xdr:row>
      <xdr:rowOff>28575</xdr:rowOff>
    </xdr:from>
    <xdr:to>
      <xdr:col>1</xdr:col>
      <xdr:colOff>38100</xdr:colOff>
      <xdr:row>11</xdr:row>
      <xdr:rowOff>161925</xdr:rowOff>
    </xdr:to>
    <xdr:grpSp>
      <xdr:nvGrpSpPr>
        <xdr:cNvPr id="18" name="Group 1584"/>
        <xdr:cNvGrpSpPr>
          <a:grpSpLocks/>
        </xdr:cNvGrpSpPr>
      </xdr:nvGrpSpPr>
      <xdr:grpSpPr>
        <a:xfrm>
          <a:off x="38100" y="3076575"/>
          <a:ext cx="619125" cy="533400"/>
          <a:chOff x="2" y="119"/>
          <a:chExt cx="45" cy="53"/>
        </a:xfrm>
        <a:solidFill>
          <a:srgbClr val="FFFFFF"/>
        </a:solidFill>
      </xdr:grpSpPr>
      <xdr:sp>
        <xdr:nvSpPr>
          <xdr:cNvPr id="19" name="AutoShape 158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Text Box 1586"/>
          <xdr:cNvSpPr txBox="1">
            <a:spLocks noChangeArrowheads="1"/>
          </xdr:cNvSpPr>
        </xdr:nvSpPr>
        <xdr:spPr>
          <a:xfrm>
            <a:off x="4" y="141"/>
            <a:ext cx="41" cy="24"/>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3209925</xdr:colOff>
      <xdr:row>2</xdr:row>
      <xdr:rowOff>180975</xdr:rowOff>
    </xdr:from>
    <xdr:to>
      <xdr:col>2</xdr:col>
      <xdr:colOff>3209925</xdr:colOff>
      <xdr:row>2</xdr:row>
      <xdr:rowOff>180975</xdr:rowOff>
    </xdr:to>
    <xdr:sp>
      <xdr:nvSpPr>
        <xdr:cNvPr id="1" name="TextBox 27">
          <a:hlinkClick r:id="rId1"/>
        </xdr:cNvPr>
        <xdr:cNvSpPr txBox="1">
          <a:spLocks noChangeArrowheads="1"/>
        </xdr:cNvSpPr>
      </xdr:nvSpPr>
      <xdr:spPr>
        <a:xfrm>
          <a:off x="5067300" y="981075"/>
          <a:ext cx="0" cy="0"/>
        </a:xfrm>
        <a:prstGeom prst="rect">
          <a:avLst/>
        </a:prstGeom>
        <a:noFill/>
        <a:ln w="9525" cmpd="sng">
          <a:noFill/>
        </a:ln>
      </xdr:spPr>
      <xdr:txBody>
        <a:bodyPr vertOverflow="clip" wrap="square"/>
        <a:p>
          <a:pPr algn="ctr">
            <a:defRPr/>
          </a:pPr>
          <a:r>
            <a:rPr lang="en-US" cap="none" sz="1100" b="0" i="0" u="none" baseline="0">
              <a:solidFill>
                <a:srgbClr val="FFFFFF"/>
              </a:solidFill>
            </a:rPr>
            <a:t>Units Help</a:t>
          </a:r>
        </a:p>
      </xdr:txBody>
    </xdr:sp>
    <xdr:clientData/>
  </xdr:twoCellAnchor>
  <xdr:twoCellAnchor editAs="oneCell">
    <xdr:from>
      <xdr:col>2</xdr:col>
      <xdr:colOff>76200</xdr:colOff>
      <xdr:row>31</xdr:row>
      <xdr:rowOff>85725</xdr:rowOff>
    </xdr:from>
    <xdr:to>
      <xdr:col>2</xdr:col>
      <xdr:colOff>1857375</xdr:colOff>
      <xdr:row>34</xdr:row>
      <xdr:rowOff>66675</xdr:rowOff>
    </xdr:to>
    <xdr:pic>
      <xdr:nvPicPr>
        <xdr:cNvPr id="2" name="Picture 11" descr="Toronto647.wmf"/>
        <xdr:cNvPicPr preferRelativeResize="1">
          <a:picLocks noChangeAspect="1"/>
        </xdr:cNvPicPr>
      </xdr:nvPicPr>
      <xdr:blipFill>
        <a:blip r:embed="rId2"/>
        <a:stretch>
          <a:fillRect/>
        </a:stretch>
      </xdr:blipFill>
      <xdr:spPr>
        <a:xfrm>
          <a:off x="1933575" y="10382250"/>
          <a:ext cx="1781175" cy="552450"/>
        </a:xfrm>
        <a:prstGeom prst="rect">
          <a:avLst/>
        </a:prstGeom>
        <a:noFill/>
        <a:ln w="9525" cmpd="sng">
          <a:noFill/>
        </a:ln>
      </xdr:spPr>
    </xdr:pic>
    <xdr:clientData/>
  </xdr:twoCellAnchor>
  <xdr:twoCellAnchor editAs="oneCell">
    <xdr:from>
      <xdr:col>2</xdr:col>
      <xdr:colOff>4219575</xdr:colOff>
      <xdr:row>31</xdr:row>
      <xdr:rowOff>133350</xdr:rowOff>
    </xdr:from>
    <xdr:to>
      <xdr:col>3</xdr:col>
      <xdr:colOff>76200</xdr:colOff>
      <xdr:row>34</xdr:row>
      <xdr:rowOff>66675</xdr:rowOff>
    </xdr:to>
    <xdr:pic>
      <xdr:nvPicPr>
        <xdr:cNvPr id="3" name="Picture 13" descr="livegreen_B.wmf"/>
        <xdr:cNvPicPr preferRelativeResize="1">
          <a:picLocks noChangeAspect="1"/>
        </xdr:cNvPicPr>
      </xdr:nvPicPr>
      <xdr:blipFill>
        <a:blip r:embed="rId3"/>
        <a:stretch>
          <a:fillRect/>
        </a:stretch>
      </xdr:blipFill>
      <xdr:spPr>
        <a:xfrm>
          <a:off x="6076950" y="10429875"/>
          <a:ext cx="1771650" cy="504825"/>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4" name="Picture 14" descr="ChemTRAC final logo.wmf"/>
        <xdr:cNvPicPr preferRelativeResize="1">
          <a:picLocks noChangeAspect="1"/>
        </xdr:cNvPicPr>
      </xdr:nvPicPr>
      <xdr:blipFill>
        <a:blip r:embed="rId4"/>
        <a:stretch>
          <a:fillRect/>
        </a:stretch>
      </xdr:blipFill>
      <xdr:spPr>
        <a:xfrm>
          <a:off x="1857375" y="0"/>
          <a:ext cx="2495550" cy="561975"/>
        </a:xfrm>
        <a:prstGeom prst="rect">
          <a:avLst/>
        </a:prstGeom>
        <a:noFill/>
        <a:ln w="9525" cmpd="sng">
          <a:noFill/>
        </a:ln>
      </xdr:spPr>
    </xdr:pic>
    <xdr:clientData/>
  </xdr:twoCellAnchor>
  <xdr:twoCellAnchor>
    <xdr:from>
      <xdr:col>1</xdr:col>
      <xdr:colOff>19050</xdr:colOff>
      <xdr:row>7</xdr:row>
      <xdr:rowOff>104775</xdr:rowOff>
    </xdr:from>
    <xdr:to>
      <xdr:col>1</xdr:col>
      <xdr:colOff>1038225</xdr:colOff>
      <xdr:row>8</xdr:row>
      <xdr:rowOff>266700</xdr:rowOff>
    </xdr:to>
    <xdr:grpSp>
      <xdr:nvGrpSpPr>
        <xdr:cNvPr id="5" name="Group 861"/>
        <xdr:cNvGrpSpPr>
          <a:grpSpLocks/>
        </xdr:cNvGrpSpPr>
      </xdr:nvGrpSpPr>
      <xdr:grpSpPr>
        <a:xfrm>
          <a:off x="666750" y="2400300"/>
          <a:ext cx="1019175" cy="361950"/>
          <a:chOff x="51" y="433"/>
          <a:chExt cx="107" cy="31"/>
        </a:xfrm>
        <a:solidFill>
          <a:srgbClr val="FFFFFF"/>
        </a:solidFill>
      </xdr:grpSpPr>
      <xdr:sp>
        <xdr:nvSpPr>
          <xdr:cNvPr id="6"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7" name="TextBox 19">
            <a:hlinkClick r:id="rId5"/>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4</xdr:row>
      <xdr:rowOff>361950</xdr:rowOff>
    </xdr:from>
    <xdr:to>
      <xdr:col>1</xdr:col>
      <xdr:colOff>1047750</xdr:colOff>
      <xdr:row>6</xdr:row>
      <xdr:rowOff>19050</xdr:rowOff>
    </xdr:to>
    <xdr:grpSp>
      <xdr:nvGrpSpPr>
        <xdr:cNvPr id="8" name="Group 864"/>
        <xdr:cNvGrpSpPr>
          <a:grpSpLocks/>
        </xdr:cNvGrpSpPr>
      </xdr:nvGrpSpPr>
      <xdr:grpSpPr>
        <a:xfrm>
          <a:off x="647700" y="1609725"/>
          <a:ext cx="1047750" cy="314325"/>
          <a:chOff x="40" y="187"/>
          <a:chExt cx="110" cy="32"/>
        </a:xfrm>
        <a:solidFill>
          <a:srgbClr val="FFFFFF"/>
        </a:solidFill>
      </xdr:grpSpPr>
      <xdr:sp>
        <xdr:nvSpPr>
          <xdr:cNvPr id="9"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0" name="TextBox 21">
            <a:hlinkClick r:id="rId6"/>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3</xdr:row>
      <xdr:rowOff>114300</xdr:rowOff>
    </xdr:from>
    <xdr:to>
      <xdr:col>1</xdr:col>
      <xdr:colOff>1028700</xdr:colOff>
      <xdr:row>4</xdr:row>
      <xdr:rowOff>266700</xdr:rowOff>
    </xdr:to>
    <xdr:grpSp>
      <xdr:nvGrpSpPr>
        <xdr:cNvPr id="11" name="Group 867"/>
        <xdr:cNvGrpSpPr>
          <a:grpSpLocks/>
        </xdr:cNvGrpSpPr>
      </xdr:nvGrpSpPr>
      <xdr:grpSpPr>
        <a:xfrm>
          <a:off x="647700" y="1162050"/>
          <a:ext cx="1028700" cy="352425"/>
          <a:chOff x="40" y="132"/>
          <a:chExt cx="108" cy="33"/>
        </a:xfrm>
        <a:solidFill>
          <a:srgbClr val="FFFFFF"/>
        </a:solidFill>
      </xdr:grpSpPr>
      <xdr:sp>
        <xdr:nvSpPr>
          <xdr:cNvPr id="12"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3" name="TextBox 22">
            <a:hlinkClick r:id="rId7"/>
          </xdr:cNvPr>
          <xdr:cNvSpPr txBox="1">
            <a:spLocks noChangeArrowheads="1"/>
          </xdr:cNvSpPr>
        </xdr:nvSpPr>
        <xdr:spPr>
          <a:xfrm>
            <a:off x="48" y="137"/>
            <a:ext cx="91" cy="21"/>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8</xdr:row>
      <xdr:rowOff>323850</xdr:rowOff>
    </xdr:from>
    <xdr:to>
      <xdr:col>1</xdr:col>
      <xdr:colOff>981075</xdr:colOff>
      <xdr:row>10</xdr:row>
      <xdr:rowOff>19050</xdr:rowOff>
    </xdr:to>
    <xdr:grpSp>
      <xdr:nvGrpSpPr>
        <xdr:cNvPr id="14" name="Group 870"/>
        <xdr:cNvGrpSpPr>
          <a:grpSpLocks/>
        </xdr:cNvGrpSpPr>
      </xdr:nvGrpSpPr>
      <xdr:grpSpPr>
        <a:xfrm>
          <a:off x="714375" y="2819400"/>
          <a:ext cx="914400" cy="295275"/>
          <a:chOff x="54" y="474"/>
          <a:chExt cx="98" cy="31"/>
        </a:xfrm>
        <a:solidFill>
          <a:srgbClr val="FFFFFF"/>
        </a:solidFill>
      </xdr:grpSpPr>
      <xdr:sp>
        <xdr:nvSpPr>
          <xdr:cNvPr id="15"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6" name="TextBox 24">
            <a:hlinkClick r:id="rId8"/>
          </xdr:cNvPr>
          <xdr:cNvSpPr txBox="1">
            <a:spLocks noChangeArrowheads="1"/>
          </xdr:cNvSpPr>
        </xdr:nvSpPr>
        <xdr:spPr>
          <a:xfrm>
            <a:off x="60" y="480"/>
            <a:ext cx="84"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28575</xdr:colOff>
      <xdr:row>8</xdr:row>
      <xdr:rowOff>161925</xdr:rowOff>
    </xdr:from>
    <xdr:to>
      <xdr:col>1</xdr:col>
      <xdr:colOff>28575</xdr:colOff>
      <xdr:row>10</xdr:row>
      <xdr:rowOff>200025</xdr:rowOff>
    </xdr:to>
    <xdr:grpSp>
      <xdr:nvGrpSpPr>
        <xdr:cNvPr id="17" name="Group 873"/>
        <xdr:cNvGrpSpPr>
          <a:grpSpLocks/>
        </xdr:cNvGrpSpPr>
      </xdr:nvGrpSpPr>
      <xdr:grpSpPr>
        <a:xfrm>
          <a:off x="28575" y="2657475"/>
          <a:ext cx="647700" cy="638175"/>
          <a:chOff x="2" y="119"/>
          <a:chExt cx="45" cy="53"/>
        </a:xfrm>
        <a:solidFill>
          <a:srgbClr val="FFFFFF"/>
        </a:solidFill>
      </xdr:grpSpPr>
      <xdr:sp>
        <xdr:nvSpPr>
          <xdr:cNvPr id="18" name="AutoShape 874"/>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Text Box 875"/>
          <xdr:cNvSpPr txBox="1">
            <a:spLocks noChangeArrowheads="1"/>
          </xdr:cNvSpPr>
        </xdr:nvSpPr>
        <xdr:spPr>
          <a:xfrm>
            <a:off x="3" y="137"/>
            <a:ext cx="41" cy="24"/>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oronto.ca/51000s/51510%20City%20of%20Toronto%20ERDIP/Templates/Other%20-%20Welding/51510%20Welding%20Data%20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Output"/>
      <sheetName val="Calculations"/>
      <sheetName val="Units Conversion Help"/>
      <sheetName val="References"/>
    </sheetNames>
    <sheetDataSet>
      <sheetData sheetId="2">
        <row r="21">
          <cell r="A21" t="str">
            <v>Select</v>
          </cell>
        </row>
        <row r="22">
          <cell r="A22" t="str">
            <v>Shielded Metal Arc:  SMAW (Stick)  </v>
          </cell>
        </row>
        <row r="23">
          <cell r="A23" t="str">
            <v>Gas Metal Arc:  GMAW (MIG)</v>
          </cell>
        </row>
        <row r="24">
          <cell r="A24" t="str">
            <v>Flux Cored Arc: FCAW   </v>
          </cell>
        </row>
        <row r="25">
          <cell r="A25" t="str">
            <v>Submerged Arc:  SAW  </v>
          </cell>
        </row>
        <row r="26">
          <cell r="A26" t="str">
            <v>Gas Tungsten Arc:  GTAW (TIG)</v>
          </cell>
        </row>
        <row r="27">
          <cell r="A27" t="str">
            <v>Other Consumable Electrode/Wire Process</v>
          </cell>
        </row>
        <row r="31">
          <cell r="A31" t="str">
            <v>Electrode</v>
          </cell>
        </row>
        <row r="33">
          <cell r="A33" t="str">
            <v>Select</v>
          </cell>
        </row>
        <row r="34">
          <cell r="A34" t="str">
            <v>Shielded Metal Arc Electrode</v>
          </cell>
        </row>
        <row r="35">
          <cell r="A35" t="str">
            <v>SMAW  E11018</v>
          </cell>
        </row>
        <row r="36">
          <cell r="A36" t="str">
            <v>SMAW  E308</v>
          </cell>
        </row>
        <row r="37">
          <cell r="A37" t="str">
            <v>SMAW  E310</v>
          </cell>
        </row>
        <row r="38">
          <cell r="A38" t="str">
            <v>SMAW  E316</v>
          </cell>
        </row>
        <row r="39">
          <cell r="A39" t="str">
            <v>SMAW  E410</v>
          </cell>
        </row>
        <row r="40">
          <cell r="A40" t="str">
            <v>SMAW  E6010</v>
          </cell>
        </row>
        <row r="41">
          <cell r="A41" t="str">
            <v>SMAW  E6011</v>
          </cell>
        </row>
        <row r="42">
          <cell r="A42" t="str">
            <v>SMAW  E6012</v>
          </cell>
        </row>
        <row r="43">
          <cell r="A43" t="str">
            <v>SMAW  E6013</v>
          </cell>
        </row>
        <row r="44">
          <cell r="A44" t="str">
            <v>SMAW  E7018</v>
          </cell>
        </row>
        <row r="45">
          <cell r="A45" t="str">
            <v>SMAW  E7024</v>
          </cell>
        </row>
        <row r="46">
          <cell r="A46" t="str">
            <v>SMAW  E7028</v>
          </cell>
        </row>
        <row r="47">
          <cell r="A47" t="str">
            <v>SMAW  E8018</v>
          </cell>
        </row>
        <row r="48">
          <cell r="A48" t="str">
            <v>SMAW  E9015</v>
          </cell>
        </row>
        <row r="49">
          <cell r="A49" t="str">
            <v>SMAW  E9018</v>
          </cell>
        </row>
        <row r="50">
          <cell r="A50" t="str">
            <v>SMAW  ECoCr</v>
          </cell>
        </row>
        <row r="51">
          <cell r="A51" t="str">
            <v>SMAW  ENi-Cl</v>
          </cell>
        </row>
        <row r="52">
          <cell r="A52" t="str">
            <v>SMAW  ENiCrMo</v>
          </cell>
        </row>
        <row r="53">
          <cell r="A53" t="str">
            <v>SMAW  ENi-Cu-2</v>
          </cell>
        </row>
        <row r="54">
          <cell r="A54" t="str">
            <v>SMAW  14Mn-4Cr</v>
          </cell>
        </row>
        <row r="55">
          <cell r="A55" t="str">
            <v>Other SMAW Electrode(4)(9)</v>
          </cell>
        </row>
        <row r="56">
          <cell r="A56" t="str">
            <v>Gas Metal Arc Wire</v>
          </cell>
        </row>
        <row r="57">
          <cell r="A57" t="str">
            <v>GMAW  E308L</v>
          </cell>
        </row>
        <row r="58">
          <cell r="A58" t="str">
            <v>GMAW  E70S</v>
          </cell>
        </row>
        <row r="59">
          <cell r="A59" t="str">
            <v>GMAW  ER1260</v>
          </cell>
        </row>
        <row r="60">
          <cell r="A60" t="str">
            <v>GMAW  ER5154</v>
          </cell>
        </row>
        <row r="61">
          <cell r="A61" t="str">
            <v>GMAW  ER316</v>
          </cell>
        </row>
        <row r="62">
          <cell r="A62" t="str">
            <v>GMAW  ENiCrMo</v>
          </cell>
        </row>
        <row r="63">
          <cell r="A63" t="str">
            <v>GMAW  ERNiCu</v>
          </cell>
        </row>
        <row r="64">
          <cell r="A64" t="str">
            <v>Other GMAW Wire(4)(9)</v>
          </cell>
        </row>
        <row r="65">
          <cell r="A65" t="str">
            <v>Flux Cored Arc Electrode</v>
          </cell>
        </row>
        <row r="66">
          <cell r="A66" t="str">
            <v>FCAW  E110</v>
          </cell>
        </row>
        <row r="67">
          <cell r="A67" t="str">
            <v>FCAW  E11018</v>
          </cell>
        </row>
        <row r="68">
          <cell r="A68" t="str">
            <v>FCAW  E308LT</v>
          </cell>
        </row>
        <row r="69">
          <cell r="A69" t="str">
            <v>FCAW  E316LT</v>
          </cell>
        </row>
        <row r="70">
          <cell r="A70" t="str">
            <v>FCAW  E70T</v>
          </cell>
        </row>
        <row r="71">
          <cell r="A71" t="str">
            <v>FCAW  E71T</v>
          </cell>
        </row>
        <row r="72">
          <cell r="A72" t="str">
            <v>Other FCAW Electrode(4)(9)</v>
          </cell>
        </row>
        <row r="73">
          <cell r="A73" t="str">
            <v>Submerged Arc Electrode</v>
          </cell>
        </row>
        <row r="74">
          <cell r="A74" t="str">
            <v>SAW  EM12K</v>
          </cell>
        </row>
        <row r="75">
          <cell r="A75" t="str">
            <v>Other SAW Electrode(4)(9)</v>
          </cell>
        </row>
        <row r="76">
          <cell r="A76" t="str">
            <v>Other Consumable Electrode/Wire(4)</v>
          </cell>
        </row>
        <row r="77">
          <cell r="A77" t="str">
            <v>Non-Consumable Electrodes (ex. GTAW) (6)(7)</v>
          </cell>
        </row>
        <row r="78">
          <cell r="A78">
            <v>22</v>
          </cell>
        </row>
        <row r="79">
          <cell r="A79" t="str">
            <v>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ne.gov.on.ca/envision/gp/3614e03.pdf" TargetMode="External" /><Relationship Id="rId2" Type="http://schemas.openxmlformats.org/officeDocument/2006/relationships/hyperlink" Target="http://www.arclin.com/products/ourProducts.html" TargetMode="External" /><Relationship Id="rId3" Type="http://schemas.openxmlformats.org/officeDocument/2006/relationships/hyperlink" Target="http://www.ucp.ru/en/customers/products/himprir/fenolsmola/" TargetMode="External" /><Relationship Id="rId4" Type="http://schemas.openxmlformats.org/officeDocument/2006/relationships/hyperlink" Target="http://www.eximcorp.com/v2/1024x768/homepage.htm" TargetMode="External" /><Relationship Id="rId5" Type="http://schemas.openxmlformats.org/officeDocument/2006/relationships/hyperlink" Target="http://www.arb.ca.gov/app/emsinv/emseic_query.php?F_YR=2008&amp;F_DIV=-4&amp;F_SEASON=A&amp;SP=2009&amp;SPN=2009_Almanac&amp;F_AREA=CA&amp;F_EICSUM=450" TargetMode="External" /><Relationship Id="rId6" Type="http://schemas.openxmlformats.org/officeDocument/2006/relationships/hyperlink" Target="http://www.epa.gov/ttn/chief/ap42/ch10/final/c10s05.pdf" TargetMode="External" /><Relationship Id="rId7" Type="http://schemas.openxmlformats.org/officeDocument/2006/relationships/hyperlink" Target="http://www.toronto.ca/legdocs/municode/1184_423.pdf" TargetMode="External" /><Relationship Id="rId8" Type="http://schemas.openxmlformats.org/officeDocument/2006/relationships/drawing" Target="../drawings/drawing4.xml" /><Relationship Id="rId9"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E29"/>
  <sheetViews>
    <sheetView tabSelected="1" zoomScalePageLayoutView="0" workbookViewId="0" topLeftCell="A1">
      <selection activeCell="A1" sqref="A1"/>
    </sheetView>
  </sheetViews>
  <sheetFormatPr defaultColWidth="9.140625" defaultRowHeight="15"/>
  <cols>
    <col min="1" max="1" width="10.421875" style="207" customWidth="1"/>
    <col min="2" max="2" width="17.00390625" style="207" customWidth="1"/>
    <col min="3" max="3" width="21.57421875" style="9" customWidth="1"/>
    <col min="4" max="4" width="82.00390625" style="9" customWidth="1"/>
    <col min="5" max="16384" width="9.140625" style="9" customWidth="1"/>
  </cols>
  <sheetData>
    <row r="1" ht="47.25" customHeight="1">
      <c r="C1" s="8"/>
    </row>
    <row r="2" spans="1:4" ht="15.75" thickBot="1">
      <c r="A2" s="208"/>
      <c r="B2" s="208"/>
      <c r="C2" s="301" t="s">
        <v>250</v>
      </c>
      <c r="D2" s="301"/>
    </row>
    <row r="3" spans="1:4" ht="18" thickBot="1">
      <c r="A3" s="208"/>
      <c r="B3" s="208"/>
      <c r="C3" s="300" t="s">
        <v>249</v>
      </c>
      <c r="D3" s="300"/>
    </row>
    <row r="4" ht="24.75" customHeight="1">
      <c r="C4" s="288" t="s">
        <v>243</v>
      </c>
    </row>
    <row r="5" spans="1:2" ht="9" customHeight="1" thickBot="1">
      <c r="A5" s="209"/>
      <c r="B5" s="209"/>
    </row>
    <row r="6" spans="1:4" s="10" customFormat="1" ht="48" customHeight="1" thickBot="1">
      <c r="A6" s="209"/>
      <c r="B6" s="209"/>
      <c r="C6" s="302" t="s">
        <v>240</v>
      </c>
      <c r="D6" s="303"/>
    </row>
    <row r="7" spans="1:4" s="10" customFormat="1" ht="13.5" thickBot="1">
      <c r="A7" s="209"/>
      <c r="B7" s="209"/>
      <c r="C7" s="165"/>
      <c r="D7" s="165"/>
    </row>
    <row r="8" spans="1:4" ht="31.5">
      <c r="A8" s="209"/>
      <c r="B8" s="209"/>
      <c r="C8" s="298" t="s">
        <v>184</v>
      </c>
      <c r="D8" s="179" t="s">
        <v>196</v>
      </c>
    </row>
    <row r="9" spans="3:4" ht="15">
      <c r="C9" s="299"/>
      <c r="D9" s="180" t="s">
        <v>197</v>
      </c>
    </row>
    <row r="10" spans="3:4" ht="15.75" thickBot="1">
      <c r="C10" s="166"/>
      <c r="D10" s="206" t="s">
        <v>212</v>
      </c>
    </row>
    <row r="11" spans="3:4" ht="15.75" customHeight="1">
      <c r="C11" s="298" t="s">
        <v>241</v>
      </c>
      <c r="D11" s="181" t="s">
        <v>198</v>
      </c>
    </row>
    <row r="12" spans="3:4" ht="31.5">
      <c r="C12" s="299"/>
      <c r="D12" s="182" t="s">
        <v>199</v>
      </c>
    </row>
    <row r="13" spans="3:4" ht="31.5">
      <c r="C13" s="166"/>
      <c r="D13" s="182" t="s">
        <v>200</v>
      </c>
    </row>
    <row r="14" spans="3:4" ht="31.5">
      <c r="C14" s="166"/>
      <c r="D14" s="182" t="s">
        <v>201</v>
      </c>
    </row>
    <row r="15" spans="3:4" ht="15.75">
      <c r="C15" s="166"/>
      <c r="D15" s="182" t="s">
        <v>202</v>
      </c>
    </row>
    <row r="16" spans="3:4" ht="15">
      <c r="C16" s="166"/>
      <c r="D16" s="182" t="s">
        <v>203</v>
      </c>
    </row>
    <row r="17" spans="3:5" ht="15" customHeight="1">
      <c r="C17" s="166"/>
      <c r="D17" s="182" t="s">
        <v>204</v>
      </c>
      <c r="E17" s="11"/>
    </row>
    <row r="18" spans="3:5" ht="15">
      <c r="C18" s="166"/>
      <c r="D18" s="182" t="s">
        <v>206</v>
      </c>
      <c r="E18" s="12"/>
    </row>
    <row r="19" spans="3:5" ht="15.75" thickBot="1">
      <c r="C19" s="167"/>
      <c r="D19" s="183" t="s">
        <v>205</v>
      </c>
      <c r="E19" s="12"/>
    </row>
    <row r="20" spans="3:5" ht="27.75" thickBot="1">
      <c r="C20" s="184" t="s">
        <v>185</v>
      </c>
      <c r="D20" s="240" t="s">
        <v>215</v>
      </c>
      <c r="E20" s="12"/>
    </row>
    <row r="21" spans="3:5" ht="47.25" thickBot="1">
      <c r="C21" s="203" t="s">
        <v>186</v>
      </c>
      <c r="D21" s="185" t="s">
        <v>216</v>
      </c>
      <c r="E21" s="13"/>
    </row>
    <row r="22" spans="3:5" ht="54" customHeight="1" thickBot="1">
      <c r="C22" s="204" t="s">
        <v>217</v>
      </c>
      <c r="D22" s="205" t="s">
        <v>235</v>
      </c>
      <c r="E22" s="13"/>
    </row>
    <row r="23" spans="3:4" ht="30.75">
      <c r="C23" s="252" t="s">
        <v>187</v>
      </c>
      <c r="D23" s="253" t="s">
        <v>236</v>
      </c>
    </row>
    <row r="24" spans="3:4" ht="15">
      <c r="C24" s="168"/>
      <c r="D24" s="169" t="s">
        <v>191</v>
      </c>
    </row>
    <row r="25" spans="3:4" ht="15">
      <c r="C25" s="168"/>
      <c r="D25" s="169" t="s">
        <v>190</v>
      </c>
    </row>
    <row r="26" spans="3:4" ht="15">
      <c r="C26" s="168"/>
      <c r="D26" s="169" t="s">
        <v>188</v>
      </c>
    </row>
    <row r="27" spans="3:4" ht="15">
      <c r="C27" s="168"/>
      <c r="D27" s="170" t="s">
        <v>192</v>
      </c>
    </row>
    <row r="28" spans="3:4" ht="15">
      <c r="C28" s="168"/>
      <c r="D28" s="170" t="s">
        <v>189</v>
      </c>
    </row>
    <row r="29" spans="3:4" ht="16.5" thickBot="1">
      <c r="C29" s="171"/>
      <c r="D29" s="202" t="s">
        <v>211</v>
      </c>
    </row>
    <row r="31" ht="15"/>
    <row r="32" ht="15"/>
  </sheetData>
  <sheetProtection sheet="1"/>
  <mergeCells count="5">
    <mergeCell ref="C11:C12"/>
    <mergeCell ref="C3:D3"/>
    <mergeCell ref="C2:D2"/>
    <mergeCell ref="C6:D6"/>
    <mergeCell ref="C8:C9"/>
  </mergeCells>
  <hyperlinks>
    <hyperlink ref="D21"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fitToHeight="1" fitToWidth="1" horizontalDpi="600" verticalDpi="600" orientation="portrait" scale="74" r:id="rId3"/>
  <drawing r:id="rId2"/>
</worksheet>
</file>

<file path=xl/worksheets/sheet2.xml><?xml version="1.0" encoding="utf-8"?>
<worksheet xmlns="http://schemas.openxmlformats.org/spreadsheetml/2006/main" xmlns:r="http://schemas.openxmlformats.org/officeDocument/2006/relationships">
  <sheetPr>
    <tabColor indexed="15"/>
  </sheetPr>
  <dimension ref="A1:AN355"/>
  <sheetViews>
    <sheetView zoomScalePageLayoutView="0" workbookViewId="0" topLeftCell="A1">
      <selection activeCell="A1" sqref="A1"/>
    </sheetView>
  </sheetViews>
  <sheetFormatPr defaultColWidth="9.140625" defaultRowHeight="15"/>
  <cols>
    <col min="1" max="1" width="9.7109375" style="207" customWidth="1"/>
    <col min="2" max="2" width="17.00390625" style="207" customWidth="1"/>
    <col min="3" max="3" width="9.140625" style="1" customWidth="1"/>
    <col min="4" max="4" width="34.421875" style="1" customWidth="1"/>
    <col min="5" max="5" width="12.421875" style="1" customWidth="1"/>
    <col min="6" max="6" width="14.7109375" style="1" bestFit="1" customWidth="1"/>
    <col min="7" max="7" width="12.7109375" style="1" customWidth="1"/>
    <col min="8" max="9" width="13.28125" style="1" customWidth="1"/>
    <col min="10" max="11" width="4.28125" style="1" customWidth="1"/>
    <col min="12" max="12" width="3.421875" style="1" customWidth="1"/>
    <col min="13" max="13" width="6.28125" style="1" customWidth="1"/>
    <col min="14" max="14" width="21.421875" style="1" customWidth="1"/>
    <col min="15" max="16384" width="9.140625" style="1" customWidth="1"/>
  </cols>
  <sheetData>
    <row r="1" spans="1:3" s="15" customFormat="1" ht="48" customHeight="1">
      <c r="A1" s="207"/>
      <c r="B1" s="207"/>
      <c r="C1" s="69"/>
    </row>
    <row r="2" spans="1:4" s="15" customFormat="1" ht="19.5" customHeight="1">
      <c r="A2" s="207"/>
      <c r="B2" s="207"/>
      <c r="C2" s="304" t="s">
        <v>242</v>
      </c>
      <c r="D2" s="304"/>
    </row>
    <row r="3" spans="1:28" ht="21.75" customHeight="1">
      <c r="A3" s="208"/>
      <c r="B3" s="278"/>
      <c r="C3" s="174" t="str">
        <f>Instructions!C4</f>
        <v>Version 1.3, Last Updated: June 14, 2013 AK &amp; ZI</v>
      </c>
      <c r="D3" s="279"/>
      <c r="E3" s="279"/>
      <c r="F3" s="15"/>
      <c r="G3" s="15"/>
      <c r="H3" s="15"/>
      <c r="I3" s="15"/>
      <c r="J3" s="15"/>
      <c r="K3" s="15"/>
      <c r="L3" s="15"/>
      <c r="M3" s="15"/>
      <c r="N3" s="15"/>
      <c r="O3" s="15"/>
      <c r="P3" s="15"/>
      <c r="Q3" s="15"/>
      <c r="R3" s="15"/>
      <c r="S3" s="15"/>
      <c r="T3" s="15"/>
      <c r="U3" s="15"/>
      <c r="V3" s="15"/>
      <c r="W3" s="15"/>
      <c r="X3" s="15"/>
      <c r="Y3" s="15"/>
      <c r="Z3" s="15"/>
      <c r="AA3" s="15"/>
      <c r="AB3" s="15"/>
    </row>
    <row r="4" spans="1:28" ht="15">
      <c r="A4" s="209"/>
      <c r="B4" s="209"/>
      <c r="C4" s="14"/>
      <c r="D4" s="15"/>
      <c r="E4" s="15"/>
      <c r="F4" s="15"/>
      <c r="G4" s="15"/>
      <c r="H4" s="15"/>
      <c r="I4" s="15"/>
      <c r="J4" s="15"/>
      <c r="K4" s="15"/>
      <c r="L4" s="15"/>
      <c r="M4" s="15"/>
      <c r="N4" s="15"/>
      <c r="O4" s="15"/>
      <c r="P4" s="15"/>
      <c r="Q4" s="15"/>
      <c r="R4" s="15"/>
      <c r="S4" s="15"/>
      <c r="T4" s="15"/>
      <c r="U4" s="15"/>
      <c r="V4" s="15"/>
      <c r="W4" s="15"/>
      <c r="X4" s="15"/>
      <c r="Y4" s="15"/>
      <c r="Z4" s="15"/>
      <c r="AA4" s="15"/>
      <c r="AB4" s="15"/>
    </row>
    <row r="5" spans="1:28" ht="37.5" customHeight="1">
      <c r="A5" s="237"/>
      <c r="B5" s="237"/>
      <c r="C5" s="323" t="s">
        <v>218</v>
      </c>
      <c r="D5" s="324"/>
      <c r="E5" s="324"/>
      <c r="F5" s="324"/>
      <c r="G5" s="324"/>
      <c r="H5" s="324"/>
      <c r="I5" s="15"/>
      <c r="J5" s="15"/>
      <c r="K5" s="15"/>
      <c r="L5" s="15"/>
      <c r="M5" s="15"/>
      <c r="N5" s="15"/>
      <c r="O5" s="15"/>
      <c r="P5" s="15"/>
      <c r="Q5" s="15"/>
      <c r="R5" s="15"/>
      <c r="S5" s="15"/>
      <c r="T5" s="15"/>
      <c r="U5" s="15"/>
      <c r="V5" s="15"/>
      <c r="W5" s="15"/>
      <c r="X5" s="15"/>
      <c r="Y5" s="15"/>
      <c r="Z5" s="15"/>
      <c r="AA5" s="15"/>
      <c r="AB5" s="15"/>
    </row>
    <row r="6" spans="1:28" ht="33" customHeight="1">
      <c r="A6" s="209"/>
      <c r="B6" s="209"/>
      <c r="C6" s="325" t="s">
        <v>213</v>
      </c>
      <c r="D6" s="324"/>
      <c r="E6" s="324"/>
      <c r="F6" s="324"/>
      <c r="G6" s="324"/>
      <c r="H6" s="324"/>
      <c r="I6" s="15"/>
      <c r="J6" s="15"/>
      <c r="K6" s="15"/>
      <c r="L6" s="15"/>
      <c r="M6" s="15"/>
      <c r="N6" s="15"/>
      <c r="O6" s="15"/>
      <c r="P6" s="15"/>
      <c r="Q6" s="15"/>
      <c r="R6" s="15"/>
      <c r="S6" s="15"/>
      <c r="T6" s="15"/>
      <c r="U6" s="15"/>
      <c r="V6" s="15"/>
      <c r="W6" s="15"/>
      <c r="X6" s="15"/>
      <c r="Y6" s="15"/>
      <c r="Z6" s="15"/>
      <c r="AA6" s="15"/>
      <c r="AB6" s="15"/>
    </row>
    <row r="7" spans="1:28" ht="49.5" customHeight="1">
      <c r="A7" s="209"/>
      <c r="B7" s="209"/>
      <c r="C7" s="326" t="s">
        <v>237</v>
      </c>
      <c r="D7" s="327"/>
      <c r="E7" s="327"/>
      <c r="F7" s="327"/>
      <c r="G7" s="327"/>
      <c r="H7" s="327"/>
      <c r="I7" s="15"/>
      <c r="J7" s="15"/>
      <c r="K7" s="15"/>
      <c r="L7" s="15"/>
      <c r="M7" s="15"/>
      <c r="N7" s="15"/>
      <c r="O7" s="15"/>
      <c r="P7" s="15"/>
      <c r="Q7" s="15"/>
      <c r="R7" s="15"/>
      <c r="S7" s="15"/>
      <c r="T7" s="15"/>
      <c r="U7" s="15"/>
      <c r="V7" s="15"/>
      <c r="W7" s="15"/>
      <c r="X7" s="15"/>
      <c r="Y7" s="15"/>
      <c r="Z7" s="15"/>
      <c r="AA7" s="15"/>
      <c r="AB7" s="15"/>
    </row>
    <row r="8" spans="1:28" ht="18">
      <c r="A8" s="209"/>
      <c r="B8" s="209"/>
      <c r="C8" s="328" t="s">
        <v>245</v>
      </c>
      <c r="D8" s="329"/>
      <c r="E8" s="329"/>
      <c r="F8" s="329"/>
      <c r="G8" s="329"/>
      <c r="H8" s="329"/>
      <c r="I8" s="15"/>
      <c r="J8" s="15"/>
      <c r="K8" s="15"/>
      <c r="L8" s="15"/>
      <c r="M8" s="15"/>
      <c r="N8" s="15"/>
      <c r="O8" s="15"/>
      <c r="P8" s="15"/>
      <c r="Q8" s="15"/>
      <c r="R8" s="15"/>
      <c r="S8" s="15"/>
      <c r="T8" s="15"/>
      <c r="U8" s="15"/>
      <c r="V8" s="15"/>
      <c r="W8" s="15"/>
      <c r="X8" s="15"/>
      <c r="Y8" s="15"/>
      <c r="Z8" s="15"/>
      <c r="AA8" s="15"/>
      <c r="AB8" s="15"/>
    </row>
    <row r="9" spans="1:28" ht="15.75">
      <c r="A9" s="209"/>
      <c r="B9" s="209"/>
      <c r="C9" s="14"/>
      <c r="D9" s="15"/>
      <c r="E9" s="15"/>
      <c r="F9" s="15"/>
      <c r="G9" s="15"/>
      <c r="H9" s="15"/>
      <c r="I9" s="15"/>
      <c r="J9" s="15"/>
      <c r="K9" s="15"/>
      <c r="L9" s="15"/>
      <c r="M9" s="15"/>
      <c r="N9" s="15"/>
      <c r="O9" s="15"/>
      <c r="P9" s="15"/>
      <c r="Q9" s="15"/>
      <c r="R9" s="15"/>
      <c r="S9" s="15"/>
      <c r="T9" s="15"/>
      <c r="U9" s="15"/>
      <c r="V9" s="15"/>
      <c r="W9" s="15"/>
      <c r="X9" s="15"/>
      <c r="Y9" s="15"/>
      <c r="Z9" s="15"/>
      <c r="AA9" s="15"/>
      <c r="AB9" s="15"/>
    </row>
    <row r="10" spans="1:40" s="173" customFormat="1" ht="16.5" thickBot="1">
      <c r="A10" s="209"/>
      <c r="B10" s="209"/>
      <c r="C10" s="14" t="s">
        <v>244</v>
      </c>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row>
    <row r="11" spans="3:28" ht="15.75" thickBot="1">
      <c r="C11" s="70"/>
      <c r="D11" s="71" t="s">
        <v>35</v>
      </c>
      <c r="E11" s="72"/>
      <c r="F11" s="72"/>
      <c r="G11" s="72"/>
      <c r="H11" s="72"/>
      <c r="I11" s="72"/>
      <c r="J11" s="73"/>
      <c r="K11" s="15"/>
      <c r="L11" s="186"/>
      <c r="M11" s="187"/>
      <c r="N11" s="187"/>
      <c r="O11" s="187"/>
      <c r="P11" s="187"/>
      <c r="Q11" s="187"/>
      <c r="R11" s="188"/>
      <c r="S11" s="15"/>
      <c r="T11" s="15"/>
      <c r="U11" s="15"/>
      <c r="V11" s="15"/>
      <c r="W11" s="15"/>
      <c r="X11" s="15"/>
      <c r="Y11" s="15"/>
      <c r="Z11" s="15"/>
      <c r="AA11" s="15"/>
      <c r="AB11" s="15"/>
    </row>
    <row r="12" spans="3:28" ht="18">
      <c r="C12" s="74"/>
      <c r="D12" s="86" t="s">
        <v>20</v>
      </c>
      <c r="E12" s="241"/>
      <c r="F12" s="144" t="s">
        <v>162</v>
      </c>
      <c r="G12" s="74"/>
      <c r="H12" s="75"/>
      <c r="I12" s="75"/>
      <c r="J12" s="76"/>
      <c r="K12" s="15"/>
      <c r="L12" s="189"/>
      <c r="M12" s="322" t="s">
        <v>207</v>
      </c>
      <c r="N12" s="322"/>
      <c r="O12" s="322"/>
      <c r="P12" s="322"/>
      <c r="Q12" s="322"/>
      <c r="R12" s="190"/>
      <c r="S12" s="15"/>
      <c r="T12" s="15"/>
      <c r="U12" s="15"/>
      <c r="V12" s="15"/>
      <c r="W12" s="15"/>
      <c r="X12" s="15"/>
      <c r="Y12" s="15"/>
      <c r="Z12" s="15"/>
      <c r="AA12" s="15"/>
      <c r="AB12" s="15"/>
    </row>
    <row r="13" spans="3:28" ht="19.5" customHeight="1" thickBot="1">
      <c r="C13" s="74"/>
      <c r="D13" s="87" t="s">
        <v>108</v>
      </c>
      <c r="E13" s="305"/>
      <c r="F13" s="306"/>
      <c r="G13" s="74"/>
      <c r="H13" s="75"/>
      <c r="I13" s="75"/>
      <c r="J13" s="76"/>
      <c r="K13" s="15"/>
      <c r="L13" s="189"/>
      <c r="M13" s="149"/>
      <c r="N13" s="149"/>
      <c r="O13" s="149"/>
      <c r="P13" s="149"/>
      <c r="Q13" s="149"/>
      <c r="R13" s="190"/>
      <c r="S13" s="15"/>
      <c r="T13" s="15"/>
      <c r="U13" s="15"/>
      <c r="V13" s="15"/>
      <c r="W13" s="15"/>
      <c r="X13" s="15"/>
      <c r="Y13" s="15"/>
      <c r="Z13" s="15"/>
      <c r="AA13" s="15"/>
      <c r="AB13" s="15"/>
    </row>
    <row r="14" spans="3:28" ht="31.5">
      <c r="C14" s="74"/>
      <c r="D14" s="88" t="s">
        <v>19</v>
      </c>
      <c r="E14" s="307"/>
      <c r="F14" s="308"/>
      <c r="G14" s="77"/>
      <c r="H14" s="78"/>
      <c r="I14" s="78"/>
      <c r="J14" s="76"/>
      <c r="K14" s="15"/>
      <c r="L14" s="191"/>
      <c r="M14" s="195">
        <v>1</v>
      </c>
      <c r="N14" s="199" t="s">
        <v>160</v>
      </c>
      <c r="O14" s="192" t="s">
        <v>37</v>
      </c>
      <c r="P14" s="129">
        <f>M14/35.314667</f>
        <v>0.028316846368677356</v>
      </c>
      <c r="Q14" s="130" t="s">
        <v>161</v>
      </c>
      <c r="R14" s="190"/>
      <c r="S14" s="15"/>
      <c r="T14" s="15"/>
      <c r="U14" s="15"/>
      <c r="V14" s="15"/>
      <c r="W14" s="15"/>
      <c r="X14" s="15"/>
      <c r="Y14" s="15"/>
      <c r="Z14" s="15"/>
      <c r="AA14" s="15"/>
      <c r="AB14" s="15"/>
    </row>
    <row r="15" spans="3:28" ht="48" thickBot="1">
      <c r="C15" s="74"/>
      <c r="D15" s="88" t="s">
        <v>117</v>
      </c>
      <c r="E15" s="307"/>
      <c r="F15" s="308"/>
      <c r="G15" s="77"/>
      <c r="H15" s="78"/>
      <c r="I15" s="78"/>
      <c r="J15" s="76"/>
      <c r="K15" s="15"/>
      <c r="L15" s="191"/>
      <c r="M15" s="196">
        <v>1</v>
      </c>
      <c r="N15" s="131" t="s">
        <v>38</v>
      </c>
      <c r="O15" s="193" t="s">
        <v>37</v>
      </c>
      <c r="P15" s="131">
        <f>M15*0.083333333/35.314667</f>
        <v>0.0023597371879508305</v>
      </c>
      <c r="Q15" s="132" t="s">
        <v>161</v>
      </c>
      <c r="R15" s="190"/>
      <c r="S15" s="15"/>
      <c r="T15" s="15"/>
      <c r="U15" s="15"/>
      <c r="V15" s="15"/>
      <c r="W15" s="15"/>
      <c r="X15" s="15"/>
      <c r="Y15" s="15"/>
      <c r="Z15" s="15"/>
      <c r="AA15" s="15"/>
      <c r="AB15" s="15"/>
    </row>
    <row r="16" spans="3:28" ht="30.75">
      <c r="C16" s="74"/>
      <c r="D16" s="88" t="s">
        <v>106</v>
      </c>
      <c r="E16" s="242"/>
      <c r="F16" s="89" t="s">
        <v>107</v>
      </c>
      <c r="G16" s="77"/>
      <c r="H16" s="78"/>
      <c r="I16" s="78"/>
      <c r="J16" s="76"/>
      <c r="K16" s="15"/>
      <c r="L16" s="191"/>
      <c r="M16" s="197">
        <v>1</v>
      </c>
      <c r="N16" s="133" t="s">
        <v>161</v>
      </c>
      <c r="O16" s="194" t="s">
        <v>37</v>
      </c>
      <c r="P16" s="133">
        <f>M16*1000</f>
        <v>1000</v>
      </c>
      <c r="Q16" s="134" t="s">
        <v>40</v>
      </c>
      <c r="R16" s="190"/>
      <c r="S16" s="15"/>
      <c r="T16" s="15"/>
      <c r="U16" s="15"/>
      <c r="V16" s="15"/>
      <c r="W16" s="15"/>
      <c r="X16" s="15"/>
      <c r="Y16" s="15"/>
      <c r="Z16" s="15"/>
      <c r="AA16" s="15"/>
      <c r="AB16" s="15"/>
    </row>
    <row r="17" spans="3:28" ht="19.5" customHeight="1" thickBot="1">
      <c r="C17" s="74"/>
      <c r="D17" s="90" t="s">
        <v>33</v>
      </c>
      <c r="E17" s="305"/>
      <c r="F17" s="306"/>
      <c r="G17" s="79"/>
      <c r="H17" s="80"/>
      <c r="I17" s="80"/>
      <c r="J17" s="76"/>
      <c r="K17" s="15"/>
      <c r="L17" s="191"/>
      <c r="M17" s="196">
        <v>1</v>
      </c>
      <c r="N17" s="131" t="s">
        <v>64</v>
      </c>
      <c r="O17" s="193" t="s">
        <v>37</v>
      </c>
      <c r="P17" s="131">
        <f>M17*3.785431</f>
        <v>3.785431</v>
      </c>
      <c r="Q17" s="132" t="s">
        <v>40</v>
      </c>
      <c r="R17" s="190"/>
      <c r="S17" s="15"/>
      <c r="T17" s="15"/>
      <c r="U17" s="15"/>
      <c r="V17" s="15"/>
      <c r="W17" s="15"/>
      <c r="X17" s="15"/>
      <c r="Y17" s="15"/>
      <c r="Z17" s="15"/>
      <c r="AA17" s="15"/>
      <c r="AB17" s="15"/>
    </row>
    <row r="18" spans="3:28" ht="19.5" customHeight="1" thickBot="1">
      <c r="C18" s="74"/>
      <c r="D18" s="91" t="s">
        <v>39</v>
      </c>
      <c r="E18" s="277"/>
      <c r="F18" s="92"/>
      <c r="G18" s="81"/>
      <c r="H18" s="82"/>
      <c r="I18" s="82"/>
      <c r="J18" s="76"/>
      <c r="K18" s="15"/>
      <c r="L18" s="191"/>
      <c r="M18" s="42"/>
      <c r="N18" s="18"/>
      <c r="O18" s="18"/>
      <c r="P18" s="18"/>
      <c r="Q18" s="18"/>
      <c r="R18" s="190"/>
      <c r="S18" s="15"/>
      <c r="T18" s="15"/>
      <c r="U18" s="15"/>
      <c r="V18" s="15"/>
      <c r="W18" s="15"/>
      <c r="X18" s="15"/>
      <c r="Y18" s="15"/>
      <c r="Z18" s="15"/>
      <c r="AA18" s="15"/>
      <c r="AB18" s="15"/>
    </row>
    <row r="19" spans="3:28" ht="15.75" thickBot="1">
      <c r="C19" s="74"/>
      <c r="D19" s="75"/>
      <c r="E19" s="75"/>
      <c r="F19" s="75"/>
      <c r="G19" s="75"/>
      <c r="H19" s="75"/>
      <c r="I19" s="75"/>
      <c r="J19" s="76"/>
      <c r="K19" s="15"/>
      <c r="L19" s="191"/>
      <c r="M19" s="42"/>
      <c r="N19" s="18"/>
      <c r="O19" s="18"/>
      <c r="P19" s="18"/>
      <c r="Q19" s="18"/>
      <c r="R19" s="190"/>
      <c r="S19" s="15"/>
      <c r="T19" s="15"/>
      <c r="U19" s="15"/>
      <c r="V19" s="15"/>
      <c r="W19" s="15"/>
      <c r="X19" s="15"/>
      <c r="Y19" s="15"/>
      <c r="Z19" s="15"/>
      <c r="AA19" s="15"/>
      <c r="AB19" s="15"/>
    </row>
    <row r="20" spans="3:28" ht="15.75" thickBot="1">
      <c r="C20" s="74"/>
      <c r="D20" s="311" t="s">
        <v>148</v>
      </c>
      <c r="E20" s="312"/>
      <c r="F20" s="312"/>
      <c r="G20" s="312"/>
      <c r="H20" s="312"/>
      <c r="I20" s="313"/>
      <c r="J20" s="76"/>
      <c r="K20" s="15"/>
      <c r="L20" s="191"/>
      <c r="M20" s="198">
        <v>1</v>
      </c>
      <c r="N20" s="135" t="s">
        <v>65</v>
      </c>
      <c r="O20" s="136" t="s">
        <v>37</v>
      </c>
      <c r="P20" s="135">
        <f>M20*0.4536</f>
        <v>0.4536</v>
      </c>
      <c r="Q20" s="137" t="s">
        <v>61</v>
      </c>
      <c r="R20" s="190"/>
      <c r="S20" s="15"/>
      <c r="T20" s="15"/>
      <c r="U20" s="15"/>
      <c r="V20" s="15"/>
      <c r="W20" s="15"/>
      <c r="X20" s="15"/>
      <c r="Y20" s="15"/>
      <c r="Z20" s="15"/>
      <c r="AA20" s="15"/>
      <c r="AB20" s="15"/>
    </row>
    <row r="21" spans="3:28" ht="15.75" thickBot="1">
      <c r="C21" s="74"/>
      <c r="D21" s="314" t="s">
        <v>23</v>
      </c>
      <c r="E21" s="316" t="s">
        <v>24</v>
      </c>
      <c r="F21" s="316" t="s">
        <v>25</v>
      </c>
      <c r="G21" s="309" t="s">
        <v>44</v>
      </c>
      <c r="H21" s="309"/>
      <c r="I21" s="310"/>
      <c r="J21" s="76"/>
      <c r="K21" s="15"/>
      <c r="L21" s="191" t="s">
        <v>43</v>
      </c>
      <c r="M21" s="198">
        <v>1</v>
      </c>
      <c r="N21" s="138" t="s">
        <v>66</v>
      </c>
      <c r="O21" s="139" t="s">
        <v>37</v>
      </c>
      <c r="P21" s="138">
        <f>M21/16*0.4536</f>
        <v>0.02835</v>
      </c>
      <c r="Q21" s="140" t="s">
        <v>61</v>
      </c>
      <c r="R21" s="190"/>
      <c r="S21" s="15"/>
      <c r="T21" s="15"/>
      <c r="U21" s="15"/>
      <c r="V21" s="15"/>
      <c r="W21" s="15"/>
      <c r="X21" s="15"/>
      <c r="Y21" s="15"/>
      <c r="Z21" s="15"/>
      <c r="AA21" s="15"/>
      <c r="AB21" s="15"/>
    </row>
    <row r="22" spans="3:28" ht="31.5" thickBot="1">
      <c r="C22" s="74"/>
      <c r="D22" s="315"/>
      <c r="E22" s="317"/>
      <c r="F22" s="317"/>
      <c r="G22" s="93" t="s">
        <v>45</v>
      </c>
      <c r="H22" s="93" t="s">
        <v>46</v>
      </c>
      <c r="I22" s="94" t="s">
        <v>47</v>
      </c>
      <c r="J22" s="76"/>
      <c r="K22" s="15"/>
      <c r="L22" s="191"/>
      <c r="M22" s="198">
        <v>1</v>
      </c>
      <c r="N22" s="138" t="s">
        <v>67</v>
      </c>
      <c r="O22" s="139" t="s">
        <v>37</v>
      </c>
      <c r="P22" s="138">
        <f>M22/1000</f>
        <v>0.001</v>
      </c>
      <c r="Q22" s="140" t="s">
        <v>61</v>
      </c>
      <c r="R22" s="190"/>
      <c r="S22" s="15"/>
      <c r="T22" s="15"/>
      <c r="U22" s="15"/>
      <c r="V22" s="15"/>
      <c r="W22" s="15"/>
      <c r="X22" s="15"/>
      <c r="Y22" s="15"/>
      <c r="Z22" s="15"/>
      <c r="AA22" s="15"/>
      <c r="AB22" s="15"/>
    </row>
    <row r="23" spans="3:28" ht="15.75" thickBot="1">
      <c r="C23" s="74"/>
      <c r="D23" s="4" t="s">
        <v>26</v>
      </c>
      <c r="E23" s="6"/>
      <c r="F23" s="5"/>
      <c r="G23" s="330">
        <v>5</v>
      </c>
      <c r="H23" s="330">
        <v>5</v>
      </c>
      <c r="I23" s="332">
        <v>50</v>
      </c>
      <c r="J23" s="76"/>
      <c r="K23" s="15"/>
      <c r="L23" s="191"/>
      <c r="M23" s="198">
        <v>1</v>
      </c>
      <c r="N23" s="138" t="s">
        <v>68</v>
      </c>
      <c r="O23" s="139" t="s">
        <v>37</v>
      </c>
      <c r="P23" s="138">
        <f>M23*907.18474</f>
        <v>907.18474</v>
      </c>
      <c r="Q23" s="140" t="s">
        <v>61</v>
      </c>
      <c r="R23" s="190"/>
      <c r="S23" s="15"/>
      <c r="T23" s="15"/>
      <c r="U23" s="15"/>
      <c r="V23" s="15"/>
      <c r="W23" s="15"/>
      <c r="X23" s="15"/>
      <c r="Y23" s="15"/>
      <c r="Z23" s="15"/>
      <c r="AA23" s="15"/>
      <c r="AB23" s="15"/>
    </row>
    <row r="24" spans="3:28" ht="15.75" thickBot="1">
      <c r="C24" s="74"/>
      <c r="D24" s="2" t="s">
        <v>149</v>
      </c>
      <c r="E24" s="7">
        <v>2</v>
      </c>
      <c r="F24" s="3">
        <v>2000</v>
      </c>
      <c r="G24" s="331"/>
      <c r="H24" s="331"/>
      <c r="I24" s="333"/>
      <c r="J24" s="76"/>
      <c r="K24" s="15"/>
      <c r="L24" s="191"/>
      <c r="M24" s="198">
        <v>1</v>
      </c>
      <c r="N24" s="138" t="s">
        <v>69</v>
      </c>
      <c r="O24" s="139" t="s">
        <v>37</v>
      </c>
      <c r="P24" s="138">
        <f>M24*1016.046909</f>
        <v>1016.046909</v>
      </c>
      <c r="Q24" s="140" t="s">
        <v>61</v>
      </c>
      <c r="R24" s="190"/>
      <c r="S24" s="15"/>
      <c r="T24" s="15"/>
      <c r="U24" s="15"/>
      <c r="V24" s="15"/>
      <c r="W24" s="15"/>
      <c r="X24" s="15"/>
      <c r="Y24" s="15"/>
      <c r="Z24" s="15"/>
      <c r="AA24" s="15"/>
      <c r="AB24" s="15"/>
    </row>
    <row r="25" spans="3:28" ht="15.75" thickBot="1">
      <c r="C25" s="74"/>
      <c r="D25" s="210"/>
      <c r="E25" s="211"/>
      <c r="F25" s="276"/>
      <c r="G25" s="211"/>
      <c r="H25" s="211"/>
      <c r="I25" s="213"/>
      <c r="J25" s="76"/>
      <c r="K25" s="15"/>
      <c r="L25" s="191"/>
      <c r="M25" s="198">
        <v>1</v>
      </c>
      <c r="N25" s="141" t="s">
        <v>70</v>
      </c>
      <c r="O25" s="142" t="s">
        <v>37</v>
      </c>
      <c r="P25" s="141">
        <f>M25*1000</f>
        <v>1000</v>
      </c>
      <c r="Q25" s="143" t="s">
        <v>61</v>
      </c>
      <c r="R25" s="190"/>
      <c r="S25" s="15"/>
      <c r="T25" s="15"/>
      <c r="U25" s="15"/>
      <c r="V25" s="15"/>
      <c r="W25" s="15"/>
      <c r="X25" s="15"/>
      <c r="Y25" s="15"/>
      <c r="Z25" s="15"/>
      <c r="AA25" s="15"/>
      <c r="AB25" s="15"/>
    </row>
    <row r="26" spans="3:28" ht="15.75" thickBot="1">
      <c r="C26" s="74"/>
      <c r="D26" s="210"/>
      <c r="E26" s="211"/>
      <c r="F26" s="212"/>
      <c r="G26" s="211"/>
      <c r="H26" s="211"/>
      <c r="I26" s="213"/>
      <c r="J26" s="76"/>
      <c r="K26" s="15"/>
      <c r="L26" s="191"/>
      <c r="M26" s="18"/>
      <c r="N26" s="18"/>
      <c r="O26" s="18"/>
      <c r="P26" s="18"/>
      <c r="Q26" s="18"/>
      <c r="R26" s="190"/>
      <c r="S26" s="15"/>
      <c r="T26" s="15"/>
      <c r="U26" s="15"/>
      <c r="V26" s="15"/>
      <c r="W26" s="15"/>
      <c r="X26" s="15"/>
      <c r="Y26" s="15"/>
      <c r="Z26" s="15"/>
      <c r="AA26" s="15"/>
      <c r="AB26" s="15"/>
    </row>
    <row r="27" spans="3:28" ht="15.75" thickBot="1">
      <c r="C27" s="74"/>
      <c r="D27" s="210"/>
      <c r="E27" s="211"/>
      <c r="F27" s="212"/>
      <c r="G27" s="211"/>
      <c r="H27" s="211"/>
      <c r="I27" s="213"/>
      <c r="J27" s="76"/>
      <c r="K27" s="15"/>
      <c r="L27" s="191"/>
      <c r="M27" s="195">
        <v>1</v>
      </c>
      <c r="N27" s="129" t="s">
        <v>194</v>
      </c>
      <c r="O27" s="129" t="s">
        <v>37</v>
      </c>
      <c r="P27" s="129">
        <f>M27*2118.88</f>
        <v>2118.88</v>
      </c>
      <c r="Q27" s="130" t="s">
        <v>193</v>
      </c>
      <c r="R27" s="110"/>
      <c r="S27" s="15"/>
      <c r="T27" s="15"/>
      <c r="U27" s="15"/>
      <c r="V27" s="15"/>
      <c r="W27" s="15"/>
      <c r="X27" s="15"/>
      <c r="Y27" s="15"/>
      <c r="Z27" s="15"/>
      <c r="AA27" s="15"/>
      <c r="AB27" s="15"/>
    </row>
    <row r="28" spans="3:28" ht="15.75" thickBot="1">
      <c r="C28" s="74"/>
      <c r="D28" s="210"/>
      <c r="E28" s="211"/>
      <c r="F28" s="212"/>
      <c r="G28" s="211"/>
      <c r="H28" s="211"/>
      <c r="I28" s="213"/>
      <c r="J28" s="76"/>
      <c r="K28" s="15"/>
      <c r="L28" s="109"/>
      <c r="M28" s="195">
        <v>1</v>
      </c>
      <c r="N28" s="133" t="s">
        <v>181</v>
      </c>
      <c r="O28" s="133" t="s">
        <v>37</v>
      </c>
      <c r="P28" s="133">
        <f>M28/1000/60*2118.88</f>
        <v>0.03531466666666667</v>
      </c>
      <c r="Q28" s="134" t="s">
        <v>193</v>
      </c>
      <c r="R28" s="110"/>
      <c r="S28" s="15"/>
      <c r="T28" s="15"/>
      <c r="U28" s="15"/>
      <c r="V28" s="15"/>
      <c r="W28" s="15"/>
      <c r="X28" s="15"/>
      <c r="Y28" s="15"/>
      <c r="Z28" s="15"/>
      <c r="AA28" s="15"/>
      <c r="AB28" s="15"/>
    </row>
    <row r="29" spans="3:28" ht="15.75" thickBot="1">
      <c r="C29" s="74"/>
      <c r="D29" s="210"/>
      <c r="E29" s="211"/>
      <c r="F29" s="212"/>
      <c r="G29" s="211"/>
      <c r="H29" s="211"/>
      <c r="I29" s="213"/>
      <c r="J29" s="76"/>
      <c r="K29" s="15"/>
      <c r="L29" s="109"/>
      <c r="M29" s="195">
        <v>1</v>
      </c>
      <c r="N29" s="133" t="s">
        <v>182</v>
      </c>
      <c r="O29" s="133" t="s">
        <v>37</v>
      </c>
      <c r="P29" s="133">
        <f>M29/1000*2118.88</f>
        <v>2.1188800000000003</v>
      </c>
      <c r="Q29" s="134" t="s">
        <v>193</v>
      </c>
      <c r="R29" s="110"/>
      <c r="S29" s="15"/>
      <c r="T29" s="15"/>
      <c r="U29" s="15"/>
      <c r="V29" s="15"/>
      <c r="W29" s="15"/>
      <c r="X29" s="15"/>
      <c r="Y29" s="15"/>
      <c r="Z29" s="15"/>
      <c r="AA29" s="15"/>
      <c r="AB29" s="15"/>
    </row>
    <row r="30" spans="3:28" ht="15.75" thickBot="1">
      <c r="C30" s="74"/>
      <c r="D30" s="210"/>
      <c r="E30" s="211"/>
      <c r="F30" s="212"/>
      <c r="G30" s="211"/>
      <c r="H30" s="211"/>
      <c r="I30" s="213"/>
      <c r="J30" s="76"/>
      <c r="K30" s="15"/>
      <c r="L30" s="109"/>
      <c r="M30" s="195">
        <v>1</v>
      </c>
      <c r="N30" s="131" t="s">
        <v>183</v>
      </c>
      <c r="O30" s="131" t="s">
        <v>37</v>
      </c>
      <c r="P30" s="131">
        <f>M30/3600*2118.88</f>
        <v>0.5885777777777778</v>
      </c>
      <c r="Q30" s="132" t="s">
        <v>193</v>
      </c>
      <c r="R30" s="110"/>
      <c r="S30" s="15"/>
      <c r="T30" s="15"/>
      <c r="U30" s="15"/>
      <c r="V30" s="15"/>
      <c r="W30" s="15"/>
      <c r="X30" s="15"/>
      <c r="Y30" s="15"/>
      <c r="Z30" s="15"/>
      <c r="AA30" s="15"/>
      <c r="AB30" s="15"/>
    </row>
    <row r="31" spans="3:28" ht="15.75" thickBot="1">
      <c r="C31" s="74"/>
      <c r="D31" s="210"/>
      <c r="E31" s="211"/>
      <c r="F31" s="212"/>
      <c r="G31" s="211"/>
      <c r="H31" s="211"/>
      <c r="I31" s="213"/>
      <c r="J31" s="76"/>
      <c r="K31" s="15"/>
      <c r="L31" s="111"/>
      <c r="M31" s="200"/>
      <c r="N31" s="200"/>
      <c r="O31" s="200"/>
      <c r="P31" s="200"/>
      <c r="Q31" s="200"/>
      <c r="R31" s="112"/>
      <c r="S31" s="15"/>
      <c r="T31" s="15"/>
      <c r="U31" s="15"/>
      <c r="V31" s="15"/>
      <c r="W31" s="15"/>
      <c r="X31" s="15"/>
      <c r="Y31" s="15"/>
      <c r="Z31" s="15"/>
      <c r="AA31" s="15"/>
      <c r="AB31" s="15"/>
    </row>
    <row r="32" spans="3:28" ht="15.75" thickBot="1">
      <c r="C32" s="74"/>
      <c r="D32" s="214"/>
      <c r="E32" s="215"/>
      <c r="F32" s="216"/>
      <c r="G32" s="215"/>
      <c r="H32" s="215"/>
      <c r="I32" s="217"/>
      <c r="J32" s="76"/>
      <c r="K32" s="15"/>
      <c r="L32" s="15"/>
      <c r="M32" s="15"/>
      <c r="N32" s="15"/>
      <c r="O32" s="15"/>
      <c r="P32" s="15"/>
      <c r="Q32" s="15"/>
      <c r="R32" s="15"/>
      <c r="S32" s="15"/>
      <c r="T32" s="15"/>
      <c r="U32" s="15"/>
      <c r="V32" s="15"/>
      <c r="W32" s="15"/>
      <c r="X32" s="15"/>
      <c r="Y32" s="15"/>
      <c r="Z32" s="15"/>
      <c r="AA32" s="15"/>
      <c r="AB32" s="15"/>
    </row>
    <row r="33" spans="3:28" ht="15.75" thickBot="1">
      <c r="C33" s="83"/>
      <c r="D33" s="84"/>
      <c r="E33" s="84"/>
      <c r="F33" s="84"/>
      <c r="G33" s="84"/>
      <c r="H33" s="84"/>
      <c r="I33" s="84"/>
      <c r="J33" s="85"/>
      <c r="K33" s="15"/>
      <c r="L33" s="15"/>
      <c r="M33" s="15"/>
      <c r="N33" s="15"/>
      <c r="O33" s="15"/>
      <c r="P33" s="15"/>
      <c r="Q33" s="15"/>
      <c r="R33" s="15"/>
      <c r="S33" s="15"/>
      <c r="T33" s="15"/>
      <c r="U33" s="15"/>
      <c r="V33" s="15"/>
      <c r="W33" s="15"/>
      <c r="X33" s="15"/>
      <c r="Y33" s="15"/>
      <c r="Z33" s="15"/>
      <c r="AA33" s="15"/>
      <c r="AB33" s="15"/>
    </row>
    <row r="34" spans="3:28" ht="15.75" thickBot="1">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row>
    <row r="35" spans="3:27" ht="15.75" thickBot="1">
      <c r="C35" s="95"/>
      <c r="D35" s="96" t="s">
        <v>209</v>
      </c>
      <c r="E35" s="96"/>
      <c r="F35" s="97"/>
      <c r="G35" s="97"/>
      <c r="H35" s="97"/>
      <c r="I35" s="98"/>
      <c r="J35" s="15"/>
      <c r="K35" s="15"/>
      <c r="L35" s="15"/>
      <c r="M35" s="15"/>
      <c r="N35" s="15"/>
      <c r="O35" s="15"/>
      <c r="P35" s="15"/>
      <c r="Q35" s="15"/>
      <c r="R35" s="15"/>
      <c r="S35" s="15"/>
      <c r="T35" s="15"/>
      <c r="U35" s="15"/>
      <c r="V35" s="15"/>
      <c r="W35" s="15"/>
      <c r="X35" s="15"/>
      <c r="Y35" s="15"/>
      <c r="Z35" s="15"/>
      <c r="AA35" s="15"/>
    </row>
    <row r="36" spans="3:27" ht="18" thickBot="1">
      <c r="C36" s="99"/>
      <c r="D36" s="318" t="s">
        <v>210</v>
      </c>
      <c r="E36" s="320" t="s">
        <v>225</v>
      </c>
      <c r="F36" s="320"/>
      <c r="G36" s="320"/>
      <c r="H36" s="321"/>
      <c r="I36" s="100"/>
      <c r="J36" s="15"/>
      <c r="K36" s="15"/>
      <c r="L36" s="15"/>
      <c r="M36" s="15"/>
      <c r="N36" s="15"/>
      <c r="O36" s="15"/>
      <c r="P36" s="15"/>
      <c r="Q36" s="15"/>
      <c r="R36" s="15"/>
      <c r="S36" s="15"/>
      <c r="T36" s="15"/>
      <c r="U36" s="15"/>
      <c r="V36" s="15"/>
      <c r="W36" s="15"/>
      <c r="X36" s="15"/>
      <c r="Y36" s="15"/>
      <c r="Z36" s="15"/>
      <c r="AA36" s="15"/>
    </row>
    <row r="37" spans="3:27" ht="33.75" thickBot="1">
      <c r="C37" s="99"/>
      <c r="D37" s="319"/>
      <c r="E37" s="290" t="s">
        <v>226</v>
      </c>
      <c r="F37" s="291" t="s">
        <v>227</v>
      </c>
      <c r="G37" s="292" t="s">
        <v>228</v>
      </c>
      <c r="H37" s="293" t="s">
        <v>229</v>
      </c>
      <c r="I37" s="100"/>
      <c r="J37" s="15"/>
      <c r="K37" s="15"/>
      <c r="L37" s="15"/>
      <c r="M37" s="15"/>
      <c r="N37" s="15"/>
      <c r="O37" s="15"/>
      <c r="P37" s="15"/>
      <c r="Q37" s="15"/>
      <c r="R37" s="15"/>
      <c r="S37" s="15"/>
      <c r="T37" s="15"/>
      <c r="U37" s="15"/>
      <c r="V37" s="15"/>
      <c r="W37" s="15"/>
      <c r="X37" s="15"/>
      <c r="Y37" s="15"/>
      <c r="Z37" s="15"/>
      <c r="AA37" s="15"/>
    </row>
    <row r="38" spans="3:27" ht="15">
      <c r="C38" s="99"/>
      <c r="D38" s="244" t="s">
        <v>6</v>
      </c>
      <c r="E38" s="270">
        <f>Calculations!E10</f>
        <v>0</v>
      </c>
      <c r="F38" s="270">
        <f>Calculations!F10</f>
        <v>0</v>
      </c>
      <c r="G38" s="270">
        <f>Calculations!G10</f>
        <v>0</v>
      </c>
      <c r="H38" s="271">
        <f>Calculations!H10</f>
        <v>0</v>
      </c>
      <c r="I38" s="100"/>
      <c r="J38" s="15"/>
      <c r="K38" s="15"/>
      <c r="L38" s="15"/>
      <c r="M38" s="15"/>
      <c r="N38" s="15"/>
      <c r="O38" s="15"/>
      <c r="P38" s="15"/>
      <c r="Q38" s="15"/>
      <c r="R38" s="15"/>
      <c r="S38" s="15"/>
      <c r="T38" s="15"/>
      <c r="U38" s="15"/>
      <c r="V38" s="15"/>
      <c r="W38" s="15"/>
      <c r="X38" s="15"/>
      <c r="Y38" s="15"/>
      <c r="Z38" s="15"/>
      <c r="AA38" s="15"/>
    </row>
    <row r="39" spans="3:27" ht="15">
      <c r="C39" s="99"/>
      <c r="D39" s="245" t="s">
        <v>4</v>
      </c>
      <c r="E39" s="272">
        <f>Calculations!E11</f>
        <v>0</v>
      </c>
      <c r="F39" s="272">
        <f>Calculations!F11</f>
        <v>0</v>
      </c>
      <c r="G39" s="272">
        <f>Calculations!G11</f>
        <v>0</v>
      </c>
      <c r="H39" s="273">
        <f>Calculations!H11</f>
        <v>0</v>
      </c>
      <c r="I39" s="100"/>
      <c r="J39" s="15"/>
      <c r="K39" s="15"/>
      <c r="L39" s="15"/>
      <c r="M39" s="15"/>
      <c r="N39" s="15"/>
      <c r="O39" s="15"/>
      <c r="P39" s="15"/>
      <c r="Q39" s="15"/>
      <c r="R39" s="15"/>
      <c r="S39" s="15"/>
      <c r="T39" s="15"/>
      <c r="U39" s="15"/>
      <c r="V39" s="15"/>
      <c r="W39" s="15"/>
      <c r="X39" s="15"/>
      <c r="Y39" s="15"/>
      <c r="Z39" s="15"/>
      <c r="AA39" s="15"/>
    </row>
    <row r="40" spans="3:27" ht="15">
      <c r="C40" s="99"/>
      <c r="D40" s="245" t="s">
        <v>75</v>
      </c>
      <c r="E40" s="272">
        <f>Calculations!E12</f>
        <v>0</v>
      </c>
      <c r="F40" s="272">
        <f>Calculations!F12</f>
        <v>0</v>
      </c>
      <c r="G40" s="272">
        <f>Calculations!G12</f>
        <v>0</v>
      </c>
      <c r="H40" s="273">
        <f>Calculations!H12</f>
        <v>0</v>
      </c>
      <c r="I40" s="100"/>
      <c r="J40" s="15"/>
      <c r="K40" s="15"/>
      <c r="L40" s="15"/>
      <c r="M40" s="15"/>
      <c r="N40" s="15"/>
      <c r="O40" s="15"/>
      <c r="P40" s="15"/>
      <c r="Q40" s="15"/>
      <c r="R40" s="15"/>
      <c r="S40" s="15"/>
      <c r="T40" s="15"/>
      <c r="U40" s="15"/>
      <c r="V40" s="15"/>
      <c r="W40" s="15"/>
      <c r="X40" s="15"/>
      <c r="Y40" s="15"/>
      <c r="Z40" s="15"/>
      <c r="AA40" s="15"/>
    </row>
    <row r="41" spans="3:27" ht="15">
      <c r="C41" s="99"/>
      <c r="D41" s="246" t="s">
        <v>219</v>
      </c>
      <c r="E41" s="272">
        <f>Calculations!E13</f>
        <v>0</v>
      </c>
      <c r="F41" s="272">
        <f>Calculations!F13</f>
        <v>0</v>
      </c>
      <c r="G41" s="272">
        <f>Calculations!G13</f>
        <v>0</v>
      </c>
      <c r="H41" s="273">
        <f>Calculations!H13</f>
        <v>0</v>
      </c>
      <c r="I41" s="100"/>
      <c r="J41" s="15"/>
      <c r="K41" s="15"/>
      <c r="L41" s="15"/>
      <c r="M41" s="15"/>
      <c r="N41" s="15"/>
      <c r="O41" s="15"/>
      <c r="P41" s="15"/>
      <c r="Q41" s="15"/>
      <c r="R41" s="15"/>
      <c r="S41" s="15"/>
      <c r="T41" s="15"/>
      <c r="U41" s="15"/>
      <c r="V41" s="15"/>
      <c r="W41" s="15"/>
      <c r="X41" s="15"/>
      <c r="Y41" s="15"/>
      <c r="Z41" s="15"/>
      <c r="AA41" s="15"/>
    </row>
    <row r="42" spans="3:27" ht="15">
      <c r="C42" s="99"/>
      <c r="D42" s="245" t="s">
        <v>79</v>
      </c>
      <c r="E42" s="272">
        <f>Calculations!E14</f>
        <v>0</v>
      </c>
      <c r="F42" s="272">
        <f>Calculations!F14</f>
        <v>0</v>
      </c>
      <c r="G42" s="272">
        <f>Calculations!G14</f>
        <v>0</v>
      </c>
      <c r="H42" s="273">
        <f>Calculations!H14</f>
        <v>0</v>
      </c>
      <c r="I42" s="100"/>
      <c r="J42" s="15"/>
      <c r="K42" s="15"/>
      <c r="L42" s="15"/>
      <c r="M42" s="15"/>
      <c r="N42" s="15"/>
      <c r="O42" s="15"/>
      <c r="P42" s="15"/>
      <c r="Q42" s="15"/>
      <c r="R42" s="15"/>
      <c r="S42" s="15"/>
      <c r="T42" s="15"/>
      <c r="U42" s="15"/>
      <c r="V42" s="15"/>
      <c r="W42" s="15"/>
      <c r="X42" s="15"/>
      <c r="Y42" s="15"/>
      <c r="Z42" s="15"/>
      <c r="AA42" s="15"/>
    </row>
    <row r="43" spans="3:27" ht="15">
      <c r="C43" s="99"/>
      <c r="D43" s="246" t="s">
        <v>220</v>
      </c>
      <c r="E43" s="272">
        <f>Calculations!E15</f>
        <v>0</v>
      </c>
      <c r="F43" s="272">
        <f>Calculations!F15</f>
        <v>0</v>
      </c>
      <c r="G43" s="272">
        <f>Calculations!G15</f>
        <v>0</v>
      </c>
      <c r="H43" s="273">
        <f>Calculations!H15</f>
        <v>0</v>
      </c>
      <c r="I43" s="100"/>
      <c r="J43" s="15"/>
      <c r="K43" s="15"/>
      <c r="L43" s="15"/>
      <c r="M43" s="15"/>
      <c r="N43" s="15"/>
      <c r="O43" s="15"/>
      <c r="P43" s="15"/>
      <c r="Q43" s="15"/>
      <c r="R43" s="15"/>
      <c r="S43" s="15"/>
      <c r="T43" s="15"/>
      <c r="U43" s="15"/>
      <c r="V43" s="15"/>
      <c r="W43" s="15"/>
      <c r="X43" s="15"/>
      <c r="Y43" s="15"/>
      <c r="Z43" s="15"/>
      <c r="AA43" s="15"/>
    </row>
    <row r="44" spans="3:27" ht="15.75" thickBot="1">
      <c r="C44" s="99"/>
      <c r="D44" s="247" t="s">
        <v>123</v>
      </c>
      <c r="E44" s="274">
        <f>Calculations!E16</f>
        <v>0</v>
      </c>
      <c r="F44" s="274">
        <f>Calculations!F16</f>
        <v>0</v>
      </c>
      <c r="G44" s="274">
        <f>Calculations!G16</f>
        <v>0</v>
      </c>
      <c r="H44" s="275">
        <f>Calculations!H16</f>
        <v>0</v>
      </c>
      <c r="I44" s="100"/>
      <c r="J44" s="15"/>
      <c r="K44" s="15"/>
      <c r="L44" s="15"/>
      <c r="M44" s="15"/>
      <c r="N44" s="15"/>
      <c r="O44" s="15"/>
      <c r="P44" s="15"/>
      <c r="Q44" s="15"/>
      <c r="R44" s="15"/>
      <c r="S44" s="15"/>
      <c r="T44" s="15"/>
      <c r="U44" s="15"/>
      <c r="V44" s="15"/>
      <c r="W44" s="15"/>
      <c r="X44" s="15"/>
      <c r="Y44" s="15"/>
      <c r="Z44" s="15"/>
      <c r="AA44" s="15"/>
    </row>
    <row r="45" spans="3:27" ht="18">
      <c r="C45" s="99"/>
      <c r="D45" s="248" t="s">
        <v>238</v>
      </c>
      <c r="E45" s="97"/>
      <c r="F45" s="160"/>
      <c r="G45" s="161"/>
      <c r="H45" s="162"/>
      <c r="I45" s="100"/>
      <c r="J45" s="15"/>
      <c r="K45" s="15"/>
      <c r="L45" s="15"/>
      <c r="M45" s="15"/>
      <c r="N45" s="15"/>
      <c r="O45" s="15"/>
      <c r="P45" s="15"/>
      <c r="Q45" s="15"/>
      <c r="R45" s="15"/>
      <c r="S45" s="15"/>
      <c r="T45" s="15"/>
      <c r="U45" s="15"/>
      <c r="V45" s="15"/>
      <c r="W45" s="15"/>
      <c r="X45" s="15"/>
      <c r="Y45" s="15"/>
      <c r="Z45" s="15"/>
      <c r="AA45" s="15"/>
    </row>
    <row r="46" spans="3:28" ht="15.75" thickBot="1">
      <c r="C46" s="101"/>
      <c r="D46" s="102"/>
      <c r="E46" s="102"/>
      <c r="F46" s="102"/>
      <c r="G46" s="102"/>
      <c r="H46" s="102"/>
      <c r="I46" s="103"/>
      <c r="J46" s="15"/>
      <c r="K46" s="15"/>
      <c r="L46" s="15"/>
      <c r="M46" s="15"/>
      <c r="N46" s="15"/>
      <c r="O46" s="15"/>
      <c r="P46" s="15"/>
      <c r="Q46" s="15"/>
      <c r="R46" s="15"/>
      <c r="S46" s="15"/>
      <c r="T46" s="15"/>
      <c r="U46" s="15"/>
      <c r="V46" s="15"/>
      <c r="W46" s="15"/>
      <c r="X46" s="15"/>
      <c r="Y46" s="15"/>
      <c r="Z46" s="15"/>
      <c r="AA46" s="15"/>
      <c r="AB46" s="15"/>
    </row>
    <row r="47" spans="3:28" ht="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3:28" ht="15.7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spans="3:28" ht="15.7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spans="3:28" ht="15.7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row>
    <row r="51" spans="3:28" ht="15.7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row>
    <row r="52" spans="3:28" ht="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row>
    <row r="53" spans="3:28" ht="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row>
    <row r="54" spans="3:28" ht="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row>
    <row r="55" spans="3:28" ht="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row>
    <row r="56" spans="3:28" ht="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3:28" ht="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row>
    <row r="58" spans="3:28" ht="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row>
    <row r="59" spans="3:28" ht="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row>
    <row r="60" spans="3:28" ht="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row>
    <row r="61" spans="3:28" ht="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row>
    <row r="62" spans="3:28" ht="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row>
    <row r="63" spans="3:28" ht="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row>
    <row r="64" spans="3:28" ht="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row>
    <row r="65" spans="3:28" ht="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row>
    <row r="66" spans="3:28" ht="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row>
    <row r="67" spans="3:28" ht="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row>
    <row r="68" spans="3:28" ht="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row>
    <row r="69" spans="3:28" ht="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row>
    <row r="70" spans="3:28" ht="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row>
    <row r="71" spans="3:28" ht="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row>
    <row r="72" spans="3:28" ht="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row>
    <row r="73" spans="3:28" ht="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row>
    <row r="74" spans="3:28" ht="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row>
    <row r="75" spans="3:28" ht="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row>
    <row r="76" spans="3:28" ht="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row>
    <row r="77" spans="3:28" ht="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row>
    <row r="78" spans="3:28" ht="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row>
    <row r="79" spans="3:28" ht="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row>
    <row r="80" spans="3:28" ht="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row>
    <row r="81" spans="3:28" ht="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row>
    <row r="82" spans="3:28" ht="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row>
    <row r="83" spans="3:28" ht="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row>
    <row r="84" spans="3:28" ht="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row>
    <row r="85" spans="3:28" ht="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row>
    <row r="86" spans="3:28" ht="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row>
    <row r="87" spans="3:28" ht="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row>
    <row r="88" spans="3:28" ht="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row>
    <row r="89" spans="3:28" ht="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row>
    <row r="90" spans="3:28" ht="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row>
    <row r="91" spans="3:28" ht="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row>
    <row r="92" spans="3:28" ht="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row>
    <row r="93" spans="3:28" ht="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row>
    <row r="94" spans="3:28" ht="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row>
    <row r="95" spans="3:28" ht="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row>
    <row r="96" spans="3:28" ht="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row>
    <row r="97" spans="3:28" ht="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row>
    <row r="98" spans="3:28" ht="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row>
    <row r="99" spans="3:28" ht="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row>
    <row r="100" spans="3:28" ht="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row>
    <row r="101" spans="3:28" ht="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row>
    <row r="102" spans="3:28" ht="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row>
    <row r="103" spans="3:28" ht="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row>
    <row r="104" spans="3:28" ht="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row>
    <row r="105" spans="3:28" ht="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row>
    <row r="106" spans="3:28" ht="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row>
    <row r="107" spans="3:28" ht="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row>
    <row r="108" spans="3:28" ht="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row>
    <row r="109" spans="3:28" ht="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row>
    <row r="110" spans="3:28" ht="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row>
    <row r="111" spans="3:28" ht="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row>
    <row r="112" spans="3:28" ht="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row>
    <row r="113" spans="3:28" ht="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row>
    <row r="114" spans="3:28" ht="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row>
    <row r="115" spans="3:28" ht="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row>
    <row r="116" spans="3:28" ht="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row>
    <row r="117" spans="3:28" ht="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row>
    <row r="118" spans="3:28" ht="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spans="3:28" ht="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row>
    <row r="120" spans="3:28" ht="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row>
    <row r="121" spans="3:28" ht="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row>
    <row r="122" spans="3:28" ht="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row>
    <row r="123" spans="3:28" ht="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row>
    <row r="124" spans="3:28" ht="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row>
    <row r="125" spans="3:28" ht="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row>
    <row r="126" spans="3:28" ht="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row>
    <row r="127" spans="3:28" ht="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row>
    <row r="128" spans="3:28" ht="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row>
    <row r="129" spans="3:28" ht="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row>
    <row r="130" spans="3:28" ht="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row>
    <row r="131" spans="3:28" ht="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row>
    <row r="132" spans="3:28" ht="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row>
    <row r="133" spans="3:28" ht="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row>
    <row r="134" spans="3:28" ht="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row>
    <row r="135" spans="3:28" ht="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row>
    <row r="136" spans="3:28" ht="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row>
    <row r="137" spans="3:28" ht="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row>
    <row r="138" spans="3:28" ht="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row>
    <row r="139" spans="3:28" ht="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row>
    <row r="140" spans="3:28" ht="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row>
    <row r="141" spans="3:28" ht="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row>
    <row r="142" spans="3:28" ht="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row>
    <row r="143" spans="3:28" ht="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row>
    <row r="144" spans="3:28" ht="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row>
    <row r="145" spans="3:28" ht="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row>
    <row r="146" spans="3:28" ht="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row>
    <row r="147" spans="3:28" ht="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row>
    <row r="148" spans="3:28" ht="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row>
    <row r="149" spans="3:28" ht="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row>
    <row r="150" spans="3:28" ht="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row>
    <row r="151" spans="3:28" ht="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row>
    <row r="152" spans="3:28" ht="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row>
    <row r="153" spans="3:28" ht="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row>
    <row r="154" spans="3:28" ht="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row>
    <row r="155" spans="3:28" ht="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row>
    <row r="156" spans="3:28" ht="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row>
    <row r="157" spans="3:28" ht="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row>
    <row r="158" spans="3:28" ht="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row>
    <row r="159" spans="3:28" ht="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row>
    <row r="160" spans="3:28" ht="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row>
    <row r="161" spans="3:28" ht="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row>
    <row r="162" spans="3:28" ht="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row>
    <row r="163" spans="3:28" ht="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row>
    <row r="164" spans="3:28" ht="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row>
    <row r="165" spans="3:28" ht="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row>
    <row r="166" spans="3:28" ht="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row>
    <row r="167" spans="3:28" ht="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row>
    <row r="168" spans="3:28" ht="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row>
    <row r="169" spans="3:28" ht="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row>
    <row r="170" spans="3:28" ht="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row>
    <row r="171" spans="3:28" ht="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row>
    <row r="172" spans="3:28" ht="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row>
    <row r="173" spans="3:28" ht="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row>
    <row r="174" spans="3:28" ht="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row>
    <row r="175" spans="3:28" ht="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row>
    <row r="176" spans="3:28" ht="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row>
    <row r="177" spans="3:28" ht="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row>
    <row r="178" spans="3:28" ht="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row>
    <row r="179" spans="3:28" ht="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row>
    <row r="180" spans="3:28" ht="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row>
    <row r="181" spans="3:28" ht="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row>
    <row r="182" spans="3:28" ht="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row>
    <row r="183" spans="3:28" ht="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row>
    <row r="184" spans="3:28" ht="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row>
    <row r="185" spans="3:28" ht="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row>
    <row r="186" spans="3:28" ht="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row>
    <row r="187" spans="3:28" ht="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row>
    <row r="188" spans="3:28" ht="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row>
    <row r="189" spans="3:28" ht="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row>
    <row r="190" spans="3:28" ht="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row>
    <row r="191" spans="3:28" ht="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row>
    <row r="192" spans="3:28" ht="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row>
    <row r="193" spans="3:28" ht="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row>
    <row r="194" spans="3:28" ht="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row>
    <row r="195" spans="3:28" ht="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row>
    <row r="196" spans="3:28" ht="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row>
    <row r="197" spans="3:28" ht="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row>
    <row r="198" spans="3:28" ht="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row>
    <row r="199" spans="3:28" ht="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row>
    <row r="200" spans="3:28" ht="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row>
    <row r="201" spans="3:28" ht="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row>
    <row r="202" spans="3:28" ht="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row>
    <row r="203" spans="3:28" ht="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row>
    <row r="204" spans="3:28" ht="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row>
    <row r="205" spans="3:28" ht="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row>
    <row r="206" spans="3:28" ht="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row>
    <row r="207" spans="3:28" ht="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row>
    <row r="208" spans="3:28" ht="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row>
    <row r="209" spans="3:28" ht="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row>
    <row r="210" spans="3:28" ht="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row>
    <row r="211" spans="3:28" ht="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row>
    <row r="212" spans="3:28" ht="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row>
    <row r="213" spans="3:28" ht="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row>
    <row r="214" spans="3:28" ht="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row>
    <row r="215" spans="3:28" ht="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row>
    <row r="216" spans="3:28" ht="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row>
    <row r="217" spans="3:28" ht="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row>
    <row r="218" spans="3:28" ht="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row>
    <row r="219" spans="3:28" ht="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row>
    <row r="220" spans="3:28" ht="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row>
    <row r="221" spans="3:28" ht="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row>
    <row r="222" spans="3:28" ht="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row>
    <row r="223" spans="3:28" ht="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row>
    <row r="224" spans="3:28" ht="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row>
    <row r="225" spans="3:28" ht="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row>
    <row r="226" spans="3:28" ht="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row>
    <row r="227" spans="3:28" ht="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row>
    <row r="228" spans="3:28" ht="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row>
    <row r="229" spans="3:28" ht="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row>
    <row r="230" spans="3:28" ht="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row>
    <row r="231" spans="3:28" ht="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row>
    <row r="232" spans="3:28" ht="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row>
    <row r="233" spans="3:28" ht="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row>
    <row r="234" spans="3:28" ht="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row>
    <row r="235" spans="3:28" ht="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row>
    <row r="236" spans="3:28" ht="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row>
    <row r="237" spans="3:28" ht="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row>
    <row r="238" spans="3:28" ht="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row>
    <row r="239" spans="3:28" ht="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row>
    <row r="240" spans="3:28" ht="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row>
    <row r="241" spans="3:28" ht="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row>
    <row r="242" spans="3:28" ht="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row>
    <row r="243" spans="3:28" ht="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row>
    <row r="244" spans="3:28" ht="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row>
    <row r="245" spans="3:28" ht="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row>
    <row r="246" spans="3:28" ht="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row>
    <row r="247" spans="3:28" ht="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row>
    <row r="248" spans="3:28" ht="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row>
    <row r="249" spans="3:28" ht="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row>
    <row r="250" spans="3:28" ht="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row>
    <row r="251" spans="3:28" ht="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row>
    <row r="252" spans="3:28" ht="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row>
    <row r="253" spans="3:28" ht="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row>
    <row r="254" spans="3:28" ht="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row>
    <row r="255" spans="3:28" ht="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row>
    <row r="256" spans="3:28" ht="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row>
    <row r="257" spans="3:28" ht="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row>
    <row r="258" spans="3:28" ht="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row>
    <row r="259" spans="3:28" ht="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row>
    <row r="260" spans="3:28" ht="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row>
    <row r="261" spans="3:28" ht="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row>
    <row r="262" spans="3:28" ht="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row>
    <row r="263" spans="3:28" ht="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row>
    <row r="264" spans="3:28" ht="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row>
    <row r="265" spans="3:28" ht="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row>
    <row r="266" spans="3:28" ht="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row>
    <row r="267" spans="3:28" ht="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row>
    <row r="268" spans="3:28" ht="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row>
    <row r="269" spans="3:28" ht="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row>
    <row r="270" spans="3:28" ht="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row>
    <row r="271" spans="3:28" ht="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row>
    <row r="272" spans="3:28" ht="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row>
    <row r="273" spans="3:28" ht="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row>
    <row r="274" spans="3:28" ht="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row>
    <row r="275" spans="3:28" ht="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row>
    <row r="276" spans="3:28" ht="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row>
    <row r="277" spans="3:28" ht="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row>
    <row r="278" spans="3:28" ht="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row>
    <row r="279" spans="3:28" ht="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row>
    <row r="280" spans="3:28" ht="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row>
    <row r="281" spans="3:28" ht="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row>
    <row r="282" spans="3:28" ht="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row>
    <row r="283" spans="3:28" ht="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row>
    <row r="284" spans="3:28" ht="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row>
    <row r="285" spans="3:28" ht="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row>
    <row r="286" spans="3:28" ht="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row>
    <row r="287" spans="3:28" ht="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row>
    <row r="288" spans="3:28" ht="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row>
    <row r="289" spans="3:28" ht="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row>
    <row r="290" spans="3:28" ht="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row>
    <row r="291" spans="3:28" ht="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row>
    <row r="292" spans="3:28" ht="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row>
    <row r="293" spans="3:28" ht="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row>
    <row r="294" spans="3:28" ht="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row>
    <row r="295" spans="3:28" ht="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row>
    <row r="296" spans="3:28" ht="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row>
    <row r="297" spans="3:28" ht="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row>
    <row r="298" spans="3:28" ht="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row>
    <row r="299" spans="3:28" ht="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row>
    <row r="300" spans="3:28" ht="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row>
    <row r="301" spans="3:28" ht="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row>
    <row r="302" spans="3:28" ht="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row>
    <row r="303" spans="3:28" ht="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row>
    <row r="304" spans="3:28" ht="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row>
    <row r="305" spans="3:28" ht="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row>
    <row r="306" spans="3:28" ht="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row>
    <row r="307" spans="3:28" ht="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row>
    <row r="308" spans="3:28" ht="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row>
    <row r="309" spans="3:28" ht="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row>
    <row r="310" spans="3:28" ht="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row>
    <row r="311" spans="3:28" ht="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row>
    <row r="312" spans="3:28" ht="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row>
    <row r="313" spans="3:28" ht="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row>
    <row r="314" spans="3:28" ht="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row>
    <row r="315" spans="3:28" ht="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row>
    <row r="316" spans="3:28" ht="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row>
    <row r="317" spans="3:28" ht="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row>
    <row r="318" spans="3:28" ht="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row>
    <row r="319" spans="3:28" ht="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row>
    <row r="320" spans="3:28" ht="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row>
    <row r="321" spans="3:28" ht="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row>
    <row r="322" spans="3:28" ht="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row>
    <row r="323" spans="3:28" ht="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row>
    <row r="324" spans="3:28" ht="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row>
    <row r="325" spans="3:28" ht="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row>
    <row r="326" spans="3:28" ht="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row>
    <row r="327" spans="3:28" ht="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row>
    <row r="328" spans="3:28" ht="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row>
    <row r="329" spans="3:28" ht="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row>
    <row r="330" spans="3:28" ht="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row>
    <row r="331" spans="3:28" ht="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row>
    <row r="332" spans="3:28" ht="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row>
    <row r="333" spans="3:28" ht="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row>
    <row r="334" spans="3:28" ht="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row>
    <row r="335" spans="3:28" ht="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row>
    <row r="336" spans="3:28" ht="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row>
    <row r="337" spans="3:28" ht="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row>
    <row r="338" spans="3:28" ht="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row>
    <row r="339" spans="3:28" ht="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row>
    <row r="340" spans="3:28" ht="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row>
    <row r="341" spans="3:28" ht="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row>
    <row r="342" spans="3:28" ht="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row>
    <row r="343" spans="3:28" ht="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row>
    <row r="344" spans="3:28" ht="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row>
    <row r="345" spans="3:28" ht="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row>
    <row r="346" spans="3:28" ht="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row>
    <row r="347" spans="3:28" ht="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row>
    <row r="348" spans="3:28" ht="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row>
    <row r="349" spans="3:28" ht="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row>
    <row r="350" spans="3:28" ht="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row>
    <row r="351" spans="3:28" ht="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row>
    <row r="352" spans="3:28" ht="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row>
    <row r="353" spans="3:28" ht="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row>
    <row r="354" spans="3:28" ht="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row>
    <row r="355" spans="3:9" ht="15">
      <c r="C355" s="15"/>
      <c r="D355" s="15"/>
      <c r="E355" s="15"/>
      <c r="F355" s="15"/>
      <c r="G355" s="15"/>
      <c r="H355" s="15"/>
      <c r="I355" s="15"/>
    </row>
  </sheetData>
  <sheetProtection sheet="1"/>
  <mergeCells count="20">
    <mergeCell ref="D36:D37"/>
    <mergeCell ref="E36:H36"/>
    <mergeCell ref="M12:Q12"/>
    <mergeCell ref="C5:H5"/>
    <mergeCell ref="C6:H6"/>
    <mergeCell ref="C7:H7"/>
    <mergeCell ref="C8:H8"/>
    <mergeCell ref="G23:G24"/>
    <mergeCell ref="H23:H24"/>
    <mergeCell ref="I23:I24"/>
    <mergeCell ref="C2:D2"/>
    <mergeCell ref="E13:F13"/>
    <mergeCell ref="E15:F15"/>
    <mergeCell ref="E14:F14"/>
    <mergeCell ref="G21:I21"/>
    <mergeCell ref="D20:I20"/>
    <mergeCell ref="D21:D22"/>
    <mergeCell ref="E21:E22"/>
    <mergeCell ref="F21:F22"/>
    <mergeCell ref="E17:F17"/>
  </mergeCells>
  <conditionalFormatting sqref="E38:H44">
    <cfRule type="cellIs" priority="1" dxfId="1" operator="greaterThan" stopIfTrue="1">
      <formula>0.1</formula>
    </cfRule>
  </conditionalFormatting>
  <dataValidations count="6">
    <dataValidation type="list" allowBlank="1" showInputMessage="1" showErrorMessage="1" sqref="H18:I18">
      <formula1>units</formula1>
    </dataValidation>
    <dataValidation type="decimal" allowBlank="1" showErrorMessage="1" error="The number entered must be between 0 and 24 hours per day" sqref="G25:G32">
      <formula1>0</formula1>
      <formula2>24</formula2>
    </dataValidation>
    <dataValidation type="whole" allowBlank="1" showErrorMessage="1" error="The number entered must be between 0 and 7 days per week" sqref="H25:H32">
      <formula1>0</formula1>
      <formula2>7</formula2>
    </dataValidation>
    <dataValidation type="whole" allowBlank="1" showErrorMessage="1" error="The number entered must be between 0 and 52 weeks per year" sqref="I25:I32">
      <formula1>0</formula1>
      <formula2>52</formula2>
    </dataValidation>
    <dataValidation type="whole" allowBlank="1" showInputMessage="1" showErrorMessage="1" errorTitle="Warning" error="Must be between 0 &amp; 100%" sqref="E16">
      <formula1>0</formula1>
      <formula2>100</formula2>
    </dataValidation>
    <dataValidation allowBlank="1" showInputMessage="1" showErrorMessage="1" promptTitle="Instruction" prompt="After entering data in this cell, select the unit from the drop down menu at the right hand side" sqref="E18"/>
  </dataValidations>
  <printOptions/>
  <pageMargins left="0.7" right="0.7" top="0.75" bottom="0.75" header="0.3" footer="0.3"/>
  <pageSetup horizontalDpi="600" verticalDpi="600" orientation="landscape" scale="94" r:id="rId3"/>
  <colBreaks count="1" manualBreakCount="1">
    <brk id="10" max="65535" man="1"/>
  </colBreaks>
  <drawing r:id="rId2"/>
  <legacyDrawing r:id="rId1"/>
</worksheet>
</file>

<file path=xl/worksheets/sheet3.xml><?xml version="1.0" encoding="utf-8"?>
<worksheet xmlns="http://schemas.openxmlformats.org/spreadsheetml/2006/main" xmlns:r="http://schemas.openxmlformats.org/officeDocument/2006/relationships">
  <sheetPr>
    <tabColor indexed="62"/>
  </sheetPr>
  <dimension ref="A1:O245"/>
  <sheetViews>
    <sheetView zoomScalePageLayoutView="0" workbookViewId="0" topLeftCell="A1">
      <selection activeCell="A1" sqref="A1"/>
    </sheetView>
  </sheetViews>
  <sheetFormatPr defaultColWidth="9.140625" defaultRowHeight="15"/>
  <cols>
    <col min="1" max="1" width="9.28125" style="207" customWidth="1"/>
    <col min="2" max="2" width="18.140625" style="207" customWidth="1"/>
    <col min="3" max="3" width="36.421875" style="15" customWidth="1"/>
    <col min="4" max="4" width="24.140625" style="15" customWidth="1"/>
    <col min="5" max="5" width="14.421875" style="16" customWidth="1"/>
    <col min="6" max="6" width="22.00390625" style="16" bestFit="1" customWidth="1"/>
    <col min="7" max="7" width="13.7109375" style="15" bestFit="1" customWidth="1"/>
    <col min="8" max="8" width="13.421875" style="15" bestFit="1" customWidth="1"/>
    <col min="9" max="9" width="14.28125" style="15" bestFit="1" customWidth="1"/>
    <col min="10" max="10" width="14.00390625" style="15" customWidth="1"/>
    <col min="11" max="11" width="9.140625" style="15" customWidth="1"/>
    <col min="12" max="12" width="15.28125" style="18" customWidth="1"/>
    <col min="13" max="13" width="22.140625" style="15" bestFit="1" customWidth="1"/>
    <col min="14" max="14" width="9.140625" style="18" customWidth="1"/>
    <col min="15" max="16384" width="9.140625" style="15" customWidth="1"/>
  </cols>
  <sheetData>
    <row r="1" spans="1:3" ht="47.25" customHeight="1">
      <c r="A1" s="238"/>
      <c r="B1" s="238"/>
      <c r="C1" s="69"/>
    </row>
    <row r="2" spans="1:12" ht="15">
      <c r="A2" s="208"/>
      <c r="B2" s="208"/>
      <c r="C2" s="14" t="s">
        <v>52</v>
      </c>
      <c r="L2" s="17"/>
    </row>
    <row r="3" spans="1:12" ht="21" customHeight="1">
      <c r="A3" s="208"/>
      <c r="B3" s="208"/>
      <c r="C3" s="174" t="str">
        <f>Instructions!C4</f>
        <v>Version 1.3, Last Updated: June 14, 2013 AK &amp; ZI</v>
      </c>
      <c r="L3" s="17"/>
    </row>
    <row r="4" spans="1:12" ht="15.75" thickBot="1">
      <c r="A4" s="209"/>
      <c r="B4" s="209"/>
      <c r="C4" s="14"/>
      <c r="L4" s="17"/>
    </row>
    <row r="5" spans="1:12" ht="36.75" customHeight="1" thickBot="1">
      <c r="A5" s="209"/>
      <c r="B5" s="209"/>
      <c r="C5" s="356" t="s">
        <v>246</v>
      </c>
      <c r="D5" s="357"/>
      <c r="E5" s="357"/>
      <c r="F5" s="357"/>
      <c r="G5" s="358"/>
      <c r="L5" s="17"/>
    </row>
    <row r="6" spans="1:12" ht="38.25" customHeight="1" thickBot="1">
      <c r="A6" s="209"/>
      <c r="B6" s="209"/>
      <c r="C6" s="356" t="s">
        <v>247</v>
      </c>
      <c r="D6" s="357"/>
      <c r="E6" s="357"/>
      <c r="F6" s="357"/>
      <c r="G6" s="358"/>
      <c r="L6" s="17"/>
    </row>
    <row r="7" spans="1:10" s="174" customFormat="1" ht="15.75" thickBot="1">
      <c r="A7" s="209"/>
      <c r="B7" s="209"/>
      <c r="C7" s="175"/>
      <c r="D7" s="175"/>
      <c r="E7" s="176"/>
      <c r="F7" s="176"/>
      <c r="G7" s="176"/>
      <c r="H7" s="177"/>
      <c r="I7" s="177"/>
      <c r="J7" s="177"/>
    </row>
    <row r="8" spans="1:10" s="174" customFormat="1" ht="18.75" customHeight="1" thickBot="1">
      <c r="A8" s="209"/>
      <c r="B8" s="209"/>
      <c r="C8" s="354" t="s">
        <v>210</v>
      </c>
      <c r="D8" s="352" t="s">
        <v>2</v>
      </c>
      <c r="E8" s="350" t="s">
        <v>225</v>
      </c>
      <c r="F8" s="350"/>
      <c r="G8" s="350"/>
      <c r="H8" s="351"/>
      <c r="I8" s="177"/>
      <c r="J8" s="177"/>
    </row>
    <row r="9" spans="1:12" ht="31.5" thickBot="1">
      <c r="A9" s="209"/>
      <c r="B9" s="209"/>
      <c r="C9" s="355"/>
      <c r="D9" s="353"/>
      <c r="E9" s="291" t="s">
        <v>221</v>
      </c>
      <c r="F9" s="291" t="s">
        <v>222</v>
      </c>
      <c r="G9" s="294" t="s">
        <v>223</v>
      </c>
      <c r="H9" s="293" t="s">
        <v>224</v>
      </c>
      <c r="L9" s="17"/>
    </row>
    <row r="10" spans="1:12" ht="15.75">
      <c r="A10" s="209"/>
      <c r="B10" s="209"/>
      <c r="C10" s="104" t="s">
        <v>6</v>
      </c>
      <c r="D10" s="105" t="s">
        <v>9</v>
      </c>
      <c r="E10" s="254">
        <f>H10</f>
        <v>0</v>
      </c>
      <c r="F10" s="254">
        <v>0</v>
      </c>
      <c r="G10" s="255">
        <v>0</v>
      </c>
      <c r="H10" s="256">
        <f>SUMIF($E$63:$E$214,D10,$H$63:$H$214)</f>
        <v>0</v>
      </c>
      <c r="L10" s="17"/>
    </row>
    <row r="11" spans="3:12" ht="15.75">
      <c r="C11" s="106" t="s">
        <v>4</v>
      </c>
      <c r="D11" s="107" t="s">
        <v>7</v>
      </c>
      <c r="E11" s="254">
        <f>H11</f>
        <v>0</v>
      </c>
      <c r="F11" s="254">
        <v>0</v>
      </c>
      <c r="G11" s="255">
        <v>0</v>
      </c>
      <c r="H11" s="256">
        <f>SUMIF($E$63:$E$214,D11,$H$63:$H$214)</f>
        <v>0</v>
      </c>
      <c r="L11" s="17"/>
    </row>
    <row r="12" spans="3:12" ht="15.75">
      <c r="C12" s="106" t="s">
        <v>75</v>
      </c>
      <c r="D12" s="107" t="s">
        <v>76</v>
      </c>
      <c r="E12" s="254">
        <f>H12</f>
        <v>0</v>
      </c>
      <c r="F12" s="254">
        <v>0</v>
      </c>
      <c r="G12" s="255">
        <v>0</v>
      </c>
      <c r="H12" s="256">
        <f>SUMIF($E$63:$E$214,D12,$H$63:$H$214)</f>
        <v>0</v>
      </c>
      <c r="L12" s="17"/>
    </row>
    <row r="13" spans="3:12" ht="15.75">
      <c r="C13" s="243" t="s">
        <v>219</v>
      </c>
      <c r="D13" s="107" t="s">
        <v>72</v>
      </c>
      <c r="E13" s="254">
        <f>H13</f>
        <v>0</v>
      </c>
      <c r="F13" s="254">
        <v>0</v>
      </c>
      <c r="G13" s="255">
        <v>0</v>
      </c>
      <c r="H13" s="256">
        <f>SUMIF($D$63:$D$214,C13,$H$63:$H$214)</f>
        <v>0</v>
      </c>
      <c r="L13" s="17"/>
    </row>
    <row r="14" spans="3:12" ht="15">
      <c r="C14" s="106" t="s">
        <v>79</v>
      </c>
      <c r="D14" s="107" t="s">
        <v>80</v>
      </c>
      <c r="E14" s="254">
        <f>H14</f>
        <v>0</v>
      </c>
      <c r="F14" s="254">
        <v>0</v>
      </c>
      <c r="G14" s="255">
        <v>0</v>
      </c>
      <c r="H14" s="256">
        <f>SUMIF($D$64:$D$214,C14,$H$64:$H$214)</f>
        <v>0</v>
      </c>
      <c r="L14" s="17"/>
    </row>
    <row r="15" spans="3:12" ht="15">
      <c r="C15" s="243" t="s">
        <v>220</v>
      </c>
      <c r="D15" s="107" t="s">
        <v>22</v>
      </c>
      <c r="E15" s="254">
        <f>SUMIF($D$64:$D$214,"VOC*",$H$64:$H$214)</f>
        <v>0</v>
      </c>
      <c r="F15" s="254">
        <v>0</v>
      </c>
      <c r="G15" s="255">
        <f>D45</f>
        <v>0</v>
      </c>
      <c r="H15" s="256">
        <f>SUMIF($D$63:$D$214,"VOC*",$H$63:$H$214)+D45</f>
        <v>0</v>
      </c>
      <c r="L15" s="17"/>
    </row>
    <row r="16" spans="3:12" ht="18.75" thickBot="1">
      <c r="C16" s="251" t="s">
        <v>124</v>
      </c>
      <c r="D16" s="108" t="s">
        <v>22</v>
      </c>
      <c r="E16" s="257">
        <f>H16</f>
        <v>0</v>
      </c>
      <c r="F16" s="258">
        <v>0</v>
      </c>
      <c r="G16" s="259">
        <v>0</v>
      </c>
      <c r="H16" s="260">
        <f>H18*0.79</f>
        <v>0</v>
      </c>
      <c r="L16" s="17"/>
    </row>
    <row r="17" spans="3:12" ht="15">
      <c r="C17" s="25" t="s">
        <v>29</v>
      </c>
      <c r="D17" s="20"/>
      <c r="E17" s="156"/>
      <c r="F17" s="156"/>
      <c r="G17" s="261"/>
      <c r="H17" s="262"/>
      <c r="L17" s="17"/>
    </row>
    <row r="18" spans="3:12" ht="18">
      <c r="C18" s="19" t="s">
        <v>127</v>
      </c>
      <c r="D18" s="20" t="s">
        <v>22</v>
      </c>
      <c r="E18" s="156">
        <f>H18</f>
        <v>0</v>
      </c>
      <c r="F18" s="156">
        <v>0</v>
      </c>
      <c r="G18" s="156">
        <v>0</v>
      </c>
      <c r="H18" s="262">
        <f>H19*0.61</f>
        <v>0</v>
      </c>
      <c r="L18" s="17"/>
    </row>
    <row r="19" spans="3:12" ht="15">
      <c r="C19" s="19" t="s">
        <v>163</v>
      </c>
      <c r="D19" s="20" t="s">
        <v>22</v>
      </c>
      <c r="E19" s="156">
        <f aca="true" t="shared" si="0" ref="E19:E37">H19</f>
        <v>0</v>
      </c>
      <c r="F19" s="156">
        <v>0</v>
      </c>
      <c r="G19" s="156">
        <v>0</v>
      </c>
      <c r="H19" s="262">
        <f>SUMIF(D63:D214,"PM*",H63:H214)+J240</f>
        <v>0</v>
      </c>
      <c r="L19" s="17"/>
    </row>
    <row r="20" spans="3:12" ht="15">
      <c r="C20" s="19" t="s">
        <v>100</v>
      </c>
      <c r="D20" s="20" t="s">
        <v>101</v>
      </c>
      <c r="E20" s="156">
        <f t="shared" si="0"/>
        <v>0</v>
      </c>
      <c r="F20" s="156">
        <v>0</v>
      </c>
      <c r="G20" s="156">
        <v>0</v>
      </c>
      <c r="H20" s="262">
        <f>SUMIF($E$64:$E$214,D20,$H$64:$H$214)</f>
        <v>0</v>
      </c>
      <c r="L20" s="17"/>
    </row>
    <row r="21" spans="3:12" ht="15">
      <c r="C21" s="19" t="s">
        <v>28</v>
      </c>
      <c r="D21" s="20" t="s">
        <v>13</v>
      </c>
      <c r="E21" s="156">
        <f t="shared" si="0"/>
        <v>0</v>
      </c>
      <c r="F21" s="156">
        <v>0</v>
      </c>
      <c r="G21" s="156">
        <v>0</v>
      </c>
      <c r="H21" s="262">
        <f>SUMIF($E$64:$E$214,D21,$H$64:$H$214)</f>
        <v>0</v>
      </c>
      <c r="L21" s="17"/>
    </row>
    <row r="22" spans="3:12" ht="15">
      <c r="C22" s="19" t="s">
        <v>91</v>
      </c>
      <c r="D22" s="20" t="s">
        <v>92</v>
      </c>
      <c r="E22" s="156">
        <f t="shared" si="0"/>
        <v>0</v>
      </c>
      <c r="F22" s="156">
        <v>0</v>
      </c>
      <c r="G22" s="156">
        <v>0</v>
      </c>
      <c r="H22" s="262">
        <f aca="true" t="shared" si="1" ref="H22:H37">SUMIF($E$74:$E$214,D22,$H$74:$H$214)</f>
        <v>0</v>
      </c>
      <c r="L22" s="17"/>
    </row>
    <row r="23" spans="3:12" ht="15">
      <c r="C23" s="19" t="s">
        <v>14</v>
      </c>
      <c r="D23" s="20" t="s">
        <v>15</v>
      </c>
      <c r="E23" s="156">
        <f t="shared" si="0"/>
        <v>0</v>
      </c>
      <c r="F23" s="156">
        <v>0</v>
      </c>
      <c r="G23" s="156">
        <v>0</v>
      </c>
      <c r="H23" s="262">
        <f t="shared" si="1"/>
        <v>0</v>
      </c>
      <c r="L23" s="17"/>
    </row>
    <row r="24" spans="3:12" ht="15">
      <c r="C24" s="19" t="s">
        <v>89</v>
      </c>
      <c r="D24" s="20" t="s">
        <v>90</v>
      </c>
      <c r="E24" s="156">
        <f t="shared" si="0"/>
        <v>0</v>
      </c>
      <c r="F24" s="156">
        <v>0</v>
      </c>
      <c r="G24" s="156">
        <v>0</v>
      </c>
      <c r="H24" s="262">
        <f t="shared" si="1"/>
        <v>0</v>
      </c>
      <c r="L24" s="17"/>
    </row>
    <row r="25" spans="3:12" ht="15">
      <c r="C25" s="19" t="s">
        <v>155</v>
      </c>
      <c r="D25" s="20" t="s">
        <v>156</v>
      </c>
      <c r="E25" s="156">
        <f t="shared" si="0"/>
        <v>0</v>
      </c>
      <c r="F25" s="156">
        <v>0</v>
      </c>
      <c r="G25" s="156">
        <v>0</v>
      </c>
      <c r="H25" s="262">
        <f t="shared" si="1"/>
        <v>0</v>
      </c>
      <c r="L25" s="17"/>
    </row>
    <row r="26" spans="3:12" ht="15">
      <c r="C26" s="19" t="s">
        <v>81</v>
      </c>
      <c r="D26" s="20" t="s">
        <v>82</v>
      </c>
      <c r="E26" s="156">
        <f t="shared" si="0"/>
        <v>0</v>
      </c>
      <c r="F26" s="156">
        <v>0</v>
      </c>
      <c r="G26" s="156">
        <v>0</v>
      </c>
      <c r="H26" s="262">
        <f t="shared" si="1"/>
        <v>0</v>
      </c>
      <c r="L26" s="17"/>
    </row>
    <row r="27" spans="3:12" ht="15">
      <c r="C27" s="19" t="s">
        <v>85</v>
      </c>
      <c r="D27" s="20" t="s">
        <v>86</v>
      </c>
      <c r="E27" s="156">
        <f t="shared" si="0"/>
        <v>0</v>
      </c>
      <c r="F27" s="156">
        <v>0</v>
      </c>
      <c r="G27" s="156">
        <v>0</v>
      </c>
      <c r="H27" s="262">
        <f t="shared" si="1"/>
        <v>0</v>
      </c>
      <c r="L27" s="17"/>
    </row>
    <row r="28" spans="3:12" ht="15">
      <c r="C28" s="19" t="s">
        <v>73</v>
      </c>
      <c r="D28" s="20" t="s">
        <v>74</v>
      </c>
      <c r="E28" s="156">
        <f t="shared" si="0"/>
        <v>0</v>
      </c>
      <c r="F28" s="156">
        <v>0</v>
      </c>
      <c r="G28" s="156">
        <v>0</v>
      </c>
      <c r="H28" s="262">
        <f t="shared" si="1"/>
        <v>0</v>
      </c>
      <c r="L28" s="17"/>
    </row>
    <row r="29" spans="3:12" ht="15">
      <c r="C29" s="19" t="s">
        <v>83</v>
      </c>
      <c r="D29" s="20" t="s">
        <v>84</v>
      </c>
      <c r="E29" s="156">
        <f t="shared" si="0"/>
        <v>0</v>
      </c>
      <c r="F29" s="156">
        <v>0</v>
      </c>
      <c r="G29" s="156">
        <v>0</v>
      </c>
      <c r="H29" s="262">
        <f t="shared" si="1"/>
        <v>0</v>
      </c>
      <c r="L29" s="17"/>
    </row>
    <row r="30" spans="3:12" ht="15">
      <c r="C30" s="19" t="s">
        <v>153</v>
      </c>
      <c r="D30" s="20" t="s">
        <v>154</v>
      </c>
      <c r="E30" s="156">
        <f t="shared" si="0"/>
        <v>0</v>
      </c>
      <c r="F30" s="156">
        <v>0</v>
      </c>
      <c r="G30" s="156">
        <v>0</v>
      </c>
      <c r="H30" s="262">
        <f t="shared" si="1"/>
        <v>0</v>
      </c>
      <c r="L30" s="17"/>
    </row>
    <row r="31" spans="3:12" ht="15">
      <c r="C31" s="19" t="s">
        <v>10</v>
      </c>
      <c r="D31" s="20" t="s">
        <v>11</v>
      </c>
      <c r="E31" s="156">
        <f t="shared" si="0"/>
        <v>0</v>
      </c>
      <c r="F31" s="156">
        <v>0</v>
      </c>
      <c r="G31" s="156">
        <v>0</v>
      </c>
      <c r="H31" s="262">
        <f t="shared" si="1"/>
        <v>0</v>
      </c>
      <c r="L31" s="17"/>
    </row>
    <row r="32" spans="3:12" ht="15">
      <c r="C32" s="19" t="s">
        <v>5</v>
      </c>
      <c r="D32" s="20" t="s">
        <v>8</v>
      </c>
      <c r="E32" s="156">
        <f t="shared" si="0"/>
        <v>0</v>
      </c>
      <c r="F32" s="156">
        <v>0</v>
      </c>
      <c r="G32" s="156">
        <v>0</v>
      </c>
      <c r="H32" s="262">
        <f t="shared" si="1"/>
        <v>0</v>
      </c>
      <c r="L32" s="17"/>
    </row>
    <row r="33" spans="3:12" ht="15">
      <c r="C33" s="19" t="s">
        <v>96</v>
      </c>
      <c r="D33" s="249" t="s">
        <v>97</v>
      </c>
      <c r="E33" s="156">
        <f t="shared" si="0"/>
        <v>0</v>
      </c>
      <c r="F33" s="156">
        <v>0</v>
      </c>
      <c r="G33" s="156">
        <v>0</v>
      </c>
      <c r="H33" s="262">
        <f t="shared" si="1"/>
        <v>0</v>
      </c>
      <c r="L33" s="17"/>
    </row>
    <row r="34" spans="3:12" ht="15">
      <c r="C34" s="19" t="s">
        <v>119</v>
      </c>
      <c r="D34" s="249" t="s">
        <v>99</v>
      </c>
      <c r="E34" s="156">
        <f t="shared" si="0"/>
        <v>0</v>
      </c>
      <c r="F34" s="156">
        <v>0</v>
      </c>
      <c r="G34" s="156">
        <v>0</v>
      </c>
      <c r="H34" s="262">
        <f t="shared" si="1"/>
        <v>0</v>
      </c>
      <c r="L34" s="17"/>
    </row>
    <row r="35" spans="3:12" ht="15">
      <c r="C35" s="19" t="s">
        <v>77</v>
      </c>
      <c r="D35" s="249" t="s">
        <v>78</v>
      </c>
      <c r="E35" s="156">
        <f t="shared" si="0"/>
        <v>0</v>
      </c>
      <c r="F35" s="156">
        <v>0</v>
      </c>
      <c r="G35" s="156">
        <v>0</v>
      </c>
      <c r="H35" s="262">
        <f t="shared" si="1"/>
        <v>0</v>
      </c>
      <c r="L35" s="17"/>
    </row>
    <row r="36" spans="3:12" ht="15">
      <c r="C36" s="19" t="s">
        <v>93</v>
      </c>
      <c r="D36" s="249" t="s">
        <v>94</v>
      </c>
      <c r="E36" s="156">
        <f t="shared" si="0"/>
        <v>0</v>
      </c>
      <c r="F36" s="156">
        <v>0</v>
      </c>
      <c r="G36" s="156">
        <v>0</v>
      </c>
      <c r="H36" s="262">
        <f t="shared" si="1"/>
        <v>0</v>
      </c>
      <c r="L36" s="17"/>
    </row>
    <row r="37" spans="3:12" ht="15">
      <c r="C37" s="19" t="s">
        <v>87</v>
      </c>
      <c r="D37" s="249" t="s">
        <v>88</v>
      </c>
      <c r="E37" s="156">
        <f t="shared" si="0"/>
        <v>0</v>
      </c>
      <c r="F37" s="156">
        <v>0</v>
      </c>
      <c r="G37" s="156">
        <v>0</v>
      </c>
      <c r="H37" s="262">
        <f t="shared" si="1"/>
        <v>0</v>
      </c>
      <c r="L37" s="17"/>
    </row>
    <row r="38" spans="3:12" ht="15" customHeight="1" thickBot="1">
      <c r="C38" s="22" t="s">
        <v>0</v>
      </c>
      <c r="D38" s="23" t="s">
        <v>22</v>
      </c>
      <c r="E38" s="263">
        <f>H38</f>
        <v>0</v>
      </c>
      <c r="F38" s="263">
        <v>0</v>
      </c>
      <c r="G38" s="264">
        <v>0</v>
      </c>
      <c r="H38" s="265">
        <f>SUMIF($D$63:$D$214,C38,$H$63:$H$214)</f>
        <v>0</v>
      </c>
      <c r="L38" s="17"/>
    </row>
    <row r="39" spans="3:12" ht="15" customHeight="1">
      <c r="C39" s="18" t="s">
        <v>180</v>
      </c>
      <c r="D39" s="17"/>
      <c r="E39" s="163"/>
      <c r="F39" s="164"/>
      <c r="G39" s="17"/>
      <c r="H39" s="42"/>
      <c r="L39" s="17"/>
    </row>
    <row r="40" spans="3:12" ht="15">
      <c r="C40" s="15" t="s">
        <v>126</v>
      </c>
      <c r="L40" s="17"/>
    </row>
    <row r="41" spans="3:12" ht="15">
      <c r="C41" s="15" t="s">
        <v>125</v>
      </c>
      <c r="L41" s="17"/>
    </row>
    <row r="42" ht="15">
      <c r="L42" s="17"/>
    </row>
    <row r="43" spans="3:12" ht="15">
      <c r="C43" s="28" t="s">
        <v>63</v>
      </c>
      <c r="D43" s="29" t="s">
        <v>62</v>
      </c>
      <c r="L43" s="17"/>
    </row>
    <row r="44" spans="3:12" ht="15">
      <c r="C44" s="28" t="s">
        <v>37</v>
      </c>
      <c r="D44" s="30">
        <f>'Input-Output'!E18</f>
        <v>0</v>
      </c>
      <c r="L44" s="17"/>
    </row>
    <row r="45" spans="3:12" ht="15">
      <c r="C45" s="28" t="s">
        <v>37</v>
      </c>
      <c r="D45" s="31">
        <f>'Input-Output'!E18*0.5</f>
        <v>0</v>
      </c>
      <c r="L45" s="17"/>
    </row>
    <row r="46" spans="3:12" ht="33.75" customHeight="1">
      <c r="C46" s="336" t="s">
        <v>195</v>
      </c>
      <c r="D46" s="336"/>
      <c r="E46" s="336"/>
      <c r="F46" s="336"/>
      <c r="G46" s="336"/>
      <c r="H46" s="336"/>
      <c r="L46" s="17"/>
    </row>
    <row r="47" ht="15.75" thickBot="1">
      <c r="L47" s="17"/>
    </row>
    <row r="48" spans="3:12" ht="15">
      <c r="C48" s="218" t="s">
        <v>30</v>
      </c>
      <c r="D48" s="219"/>
      <c r="E48" s="220" t="s">
        <v>41</v>
      </c>
      <c r="F48" s="221"/>
      <c r="G48" s="222" t="s">
        <v>113</v>
      </c>
      <c r="L48" s="17"/>
    </row>
    <row r="49" spans="3:12" ht="15">
      <c r="C49" s="232" t="s">
        <v>36</v>
      </c>
      <c r="D49" s="223"/>
      <c r="E49" s="234" t="s">
        <v>42</v>
      </c>
      <c r="F49" s="224"/>
      <c r="G49" s="235" t="s">
        <v>36</v>
      </c>
      <c r="L49" s="17"/>
    </row>
    <row r="50" spans="3:12" ht="15">
      <c r="C50" s="232" t="s">
        <v>31</v>
      </c>
      <c r="D50" s="223"/>
      <c r="E50" s="234" t="s">
        <v>40</v>
      </c>
      <c r="F50" s="224"/>
      <c r="G50" s="235" t="s">
        <v>114</v>
      </c>
      <c r="L50" s="17"/>
    </row>
    <row r="51" spans="3:12" ht="15">
      <c r="C51" s="232" t="s">
        <v>32</v>
      </c>
      <c r="D51" s="223"/>
      <c r="E51" s="234" t="s">
        <v>61</v>
      </c>
      <c r="F51" s="224"/>
      <c r="G51" s="235" t="s">
        <v>115</v>
      </c>
      <c r="L51" s="15"/>
    </row>
    <row r="52" spans="3:7" ht="15">
      <c r="C52" s="232" t="s">
        <v>34</v>
      </c>
      <c r="D52" s="223"/>
      <c r="E52" s="234">
        <v>1</v>
      </c>
      <c r="F52" s="224"/>
      <c r="G52" s="235" t="s">
        <v>116</v>
      </c>
    </row>
    <row r="53" spans="3:7" ht="15.75" thickBot="1">
      <c r="C53" s="233">
        <v>1</v>
      </c>
      <c r="D53" s="226"/>
      <c r="E53" s="227"/>
      <c r="F53" s="228"/>
      <c r="G53" s="236">
        <v>1</v>
      </c>
    </row>
    <row r="54" spans="3:12" ht="15">
      <c r="C54" s="218" t="s">
        <v>17</v>
      </c>
      <c r="D54" s="223"/>
      <c r="E54" s="230" t="s">
        <v>109</v>
      </c>
      <c r="F54" s="224"/>
      <c r="G54" s="225"/>
      <c r="L54" s="17"/>
    </row>
    <row r="55" spans="3:12" ht="15">
      <c r="C55" s="232" t="s">
        <v>36</v>
      </c>
      <c r="D55" s="223"/>
      <c r="E55" s="234" t="s">
        <v>36</v>
      </c>
      <c r="F55" s="224"/>
      <c r="G55" s="225"/>
      <c r="L55" s="17"/>
    </row>
    <row r="56" spans="3:12" ht="15">
      <c r="C56" s="232" t="s">
        <v>110</v>
      </c>
      <c r="D56" s="223"/>
      <c r="E56" s="234" t="s">
        <v>120</v>
      </c>
      <c r="F56" s="224"/>
      <c r="G56" s="225"/>
      <c r="L56" s="17"/>
    </row>
    <row r="57" spans="3:12" ht="15">
      <c r="C57" s="232" t="s">
        <v>18</v>
      </c>
      <c r="D57" s="223"/>
      <c r="E57" s="234" t="s">
        <v>121</v>
      </c>
      <c r="F57" s="224"/>
      <c r="G57" s="225"/>
      <c r="L57" s="17"/>
    </row>
    <row r="58" spans="3:12" ht="30.75">
      <c r="C58" s="232" t="s">
        <v>111</v>
      </c>
      <c r="D58" s="223"/>
      <c r="E58" s="234" t="s">
        <v>122</v>
      </c>
      <c r="F58" s="224"/>
      <c r="G58" s="225"/>
      <c r="L58" s="17"/>
    </row>
    <row r="59" spans="3:12" ht="15">
      <c r="C59" s="232" t="s">
        <v>112</v>
      </c>
      <c r="D59" s="223"/>
      <c r="E59" s="234">
        <v>1</v>
      </c>
      <c r="F59" s="224"/>
      <c r="G59" s="225"/>
      <c r="L59" s="17"/>
    </row>
    <row r="60" spans="3:12" ht="15.75" thickBot="1">
      <c r="C60" s="233">
        <v>1</v>
      </c>
      <c r="D60" s="226"/>
      <c r="E60" s="227"/>
      <c r="F60" s="228"/>
      <c r="G60" s="229"/>
      <c r="L60" s="17"/>
    </row>
    <row r="61" spans="12:14" ht="15.75" thickBot="1">
      <c r="L61" s="17"/>
      <c r="N61" s="17"/>
    </row>
    <row r="62" spans="3:15" ht="49.5" thickBot="1">
      <c r="C62" s="118" t="s">
        <v>16</v>
      </c>
      <c r="D62" s="123" t="s">
        <v>1</v>
      </c>
      <c r="E62" s="117" t="s">
        <v>2</v>
      </c>
      <c r="F62" s="117" t="s">
        <v>53</v>
      </c>
      <c r="G62" s="145" t="s">
        <v>164</v>
      </c>
      <c r="H62" s="125" t="s">
        <v>21</v>
      </c>
      <c r="I62" s="33" t="s">
        <v>150</v>
      </c>
      <c r="L62" s="15"/>
      <c r="M62" s="17"/>
      <c r="N62" s="15"/>
      <c r="O62" s="17"/>
    </row>
    <row r="63" spans="3:15" ht="15">
      <c r="C63" s="119" t="s">
        <v>71</v>
      </c>
      <c r="D63" s="120" t="s">
        <v>143</v>
      </c>
      <c r="E63" s="121" t="s">
        <v>22</v>
      </c>
      <c r="F63" s="121">
        <v>0.011</v>
      </c>
      <c r="G63" s="121">
        <f>F63*0.5</f>
        <v>0.0055</v>
      </c>
      <c r="H63" s="157">
        <f>IF($E$59=3,0,'Input-Output'!$E$12*'Input-Output'!$E$16/100*Calculations!G63)</f>
        <v>0</v>
      </c>
      <c r="I63" s="126" t="s">
        <v>151</v>
      </c>
      <c r="L63" s="15"/>
      <c r="M63" s="17"/>
      <c r="N63" s="15"/>
      <c r="O63" s="17"/>
    </row>
    <row r="64" spans="3:15" ht="15">
      <c r="C64" s="34"/>
      <c r="D64" s="27" t="s">
        <v>0</v>
      </c>
      <c r="E64" s="20" t="s">
        <v>22</v>
      </c>
      <c r="F64" s="20">
        <v>0.023</v>
      </c>
      <c r="G64" s="20">
        <f aca="true" t="shared" si="2" ref="G64:G135">F64*0.5</f>
        <v>0.0115</v>
      </c>
      <c r="H64" s="156">
        <f>IF($E$59=3,0,'Input-Output'!$E$12*'Input-Output'!$E$16/100*Calculations!G64)</f>
        <v>0</v>
      </c>
      <c r="I64" s="21" t="s">
        <v>152</v>
      </c>
      <c r="L64" s="15"/>
      <c r="M64" s="17"/>
      <c r="N64" s="15"/>
      <c r="O64" s="17"/>
    </row>
    <row r="65" spans="3:15" ht="15">
      <c r="C65" s="34"/>
      <c r="D65" s="27" t="s">
        <v>104</v>
      </c>
      <c r="E65" s="20" t="s">
        <v>22</v>
      </c>
      <c r="F65" s="20">
        <v>0.28</v>
      </c>
      <c r="G65" s="20">
        <f t="shared" si="2"/>
        <v>0.14</v>
      </c>
      <c r="H65" s="156">
        <f>IF($E$59=3,0,'Input-Output'!$E$12*'Input-Output'!$E$16/100*Calculations!G65)</f>
        <v>0</v>
      </c>
      <c r="I65" s="21" t="s">
        <v>151</v>
      </c>
      <c r="L65" s="15"/>
      <c r="M65" s="17"/>
      <c r="N65" s="15"/>
      <c r="O65" s="17"/>
    </row>
    <row r="66" spans="3:15" ht="15">
      <c r="C66" s="34"/>
      <c r="D66" s="27" t="s">
        <v>4</v>
      </c>
      <c r="E66" s="20" t="s">
        <v>7</v>
      </c>
      <c r="F66" s="20">
        <v>0.0015</v>
      </c>
      <c r="G66" s="20">
        <f t="shared" si="2"/>
        <v>0.00075</v>
      </c>
      <c r="H66" s="156">
        <f>IF($E$59=3,0,'Input-Output'!$E$12*'Input-Output'!$E$16/100*Calculations!G66)</f>
        <v>0</v>
      </c>
      <c r="I66" s="21" t="s">
        <v>152</v>
      </c>
      <c r="L66" s="15"/>
      <c r="M66" s="17"/>
      <c r="N66" s="15"/>
      <c r="O66" s="17"/>
    </row>
    <row r="67" spans="3:15" ht="15">
      <c r="C67" s="34"/>
      <c r="D67" s="27" t="s">
        <v>5</v>
      </c>
      <c r="E67" s="20" t="s">
        <v>8</v>
      </c>
      <c r="F67" s="20">
        <v>0.00089</v>
      </c>
      <c r="G67" s="20">
        <f t="shared" si="2"/>
        <v>0.000445</v>
      </c>
      <c r="H67" s="156">
        <f>IF($E$59=3,0,'Input-Output'!$E$12*'Input-Output'!$E$16/100*Calculations!G67)</f>
        <v>0</v>
      </c>
      <c r="I67" s="21" t="s">
        <v>152</v>
      </c>
      <c r="L67" s="15"/>
      <c r="M67" s="17"/>
      <c r="N67" s="15"/>
      <c r="O67" s="17"/>
    </row>
    <row r="68" spans="3:15" ht="15">
      <c r="C68" s="34"/>
      <c r="D68" s="27" t="s">
        <v>77</v>
      </c>
      <c r="E68" s="20" t="s">
        <v>78</v>
      </c>
      <c r="F68" s="20">
        <v>0.17</v>
      </c>
      <c r="G68" s="20">
        <f t="shared" si="2"/>
        <v>0.085</v>
      </c>
      <c r="H68" s="156">
        <f>IF($E$59=3,0,'Input-Output'!$E$12*'Input-Output'!$E$16/100*Calculations!G68)</f>
        <v>0</v>
      </c>
      <c r="I68" s="21" t="s">
        <v>152</v>
      </c>
      <c r="L68" s="15"/>
      <c r="M68" s="17"/>
      <c r="N68" s="15"/>
      <c r="O68" s="17"/>
    </row>
    <row r="69" spans="3:15" ht="15">
      <c r="C69" s="34"/>
      <c r="D69" s="27" t="s">
        <v>81</v>
      </c>
      <c r="E69" s="20" t="s">
        <v>82</v>
      </c>
      <c r="F69" s="20">
        <v>0.056</v>
      </c>
      <c r="G69" s="20">
        <f t="shared" si="2"/>
        <v>0.028</v>
      </c>
      <c r="H69" s="156">
        <f>IF($E$59=3,0,'Input-Output'!$E$12*'Input-Output'!$E$16/100*Calculations!G69)</f>
        <v>0</v>
      </c>
      <c r="I69" s="21" t="s">
        <v>152</v>
      </c>
      <c r="L69" s="15"/>
      <c r="M69" s="17"/>
      <c r="N69" s="15"/>
      <c r="O69" s="17"/>
    </row>
    <row r="70" spans="3:15" ht="15">
      <c r="C70" s="34"/>
      <c r="D70" s="27" t="s">
        <v>6</v>
      </c>
      <c r="E70" s="20" t="s">
        <v>118</v>
      </c>
      <c r="F70" s="20">
        <v>0.00035</v>
      </c>
      <c r="G70" s="20">
        <f t="shared" si="2"/>
        <v>0.000175</v>
      </c>
      <c r="H70" s="156">
        <f>IF($E$59=3,0,'Input-Output'!$E$12*'Input-Output'!$E$16/100*Calculations!G70)</f>
        <v>0</v>
      </c>
      <c r="I70" s="21" t="s">
        <v>152</v>
      </c>
      <c r="L70" s="15"/>
      <c r="M70" s="17"/>
      <c r="N70" s="15"/>
      <c r="O70" s="17"/>
    </row>
    <row r="71" spans="3:15" ht="15">
      <c r="C71" s="34"/>
      <c r="D71" s="27" t="s">
        <v>83</v>
      </c>
      <c r="E71" s="20" t="s">
        <v>84</v>
      </c>
      <c r="F71" s="20">
        <v>0.004</v>
      </c>
      <c r="G71" s="20">
        <f t="shared" si="2"/>
        <v>0.002</v>
      </c>
      <c r="H71" s="156">
        <f>IF($E$59=3,0,'Input-Output'!$E$12*'Input-Output'!$E$16/100*Calculations!G71)</f>
        <v>0</v>
      </c>
      <c r="I71" s="21" t="s">
        <v>152</v>
      </c>
      <c r="L71" s="15"/>
      <c r="M71" s="17"/>
      <c r="N71" s="15"/>
      <c r="O71" s="17"/>
    </row>
    <row r="72" spans="3:15" ht="15">
      <c r="C72" s="35"/>
      <c r="D72" s="36" t="s">
        <v>10</v>
      </c>
      <c r="E72" s="37" t="s">
        <v>11</v>
      </c>
      <c r="F72" s="37">
        <v>0.0027</v>
      </c>
      <c r="G72" s="37">
        <f t="shared" si="2"/>
        <v>0.00135</v>
      </c>
      <c r="H72" s="158">
        <f>IF($E$59=3,0,'Input-Output'!$E$12*'Input-Output'!$E$16/100*Calculations!G72)</f>
        <v>0</v>
      </c>
      <c r="I72" s="127" t="s">
        <v>152</v>
      </c>
      <c r="L72" s="15"/>
      <c r="M72" s="17"/>
      <c r="N72" s="15"/>
      <c r="O72" s="17"/>
    </row>
    <row r="73" spans="3:15" ht="15">
      <c r="C73" s="338" t="s">
        <v>168</v>
      </c>
      <c r="D73" s="27" t="s">
        <v>143</v>
      </c>
      <c r="E73" s="20" t="s">
        <v>22</v>
      </c>
      <c r="F73" s="20">
        <v>1.35</v>
      </c>
      <c r="G73" s="20">
        <f t="shared" si="2"/>
        <v>0.675</v>
      </c>
      <c r="H73" s="152">
        <f>IF($E$59=3,0,IF($C$60=3,IF($G$53=3,0,'Input-Output'!$E$12*Calculations!G73),0))</f>
        <v>0</v>
      </c>
      <c r="I73" s="21" t="s">
        <v>152</v>
      </c>
      <c r="L73" s="15"/>
      <c r="M73" s="17"/>
      <c r="N73" s="15"/>
      <c r="O73" s="17"/>
    </row>
    <row r="74" spans="3:15" ht="15.75" customHeight="1">
      <c r="C74" s="337"/>
      <c r="D74" s="27" t="s">
        <v>0</v>
      </c>
      <c r="E74" s="20" t="s">
        <v>22</v>
      </c>
      <c r="F74" s="20">
        <v>1.5</v>
      </c>
      <c r="G74" s="20">
        <f t="shared" si="2"/>
        <v>0.75</v>
      </c>
      <c r="H74" s="152">
        <f>IF($E$59=3,0,IF($C$60=3,IF($G$53=3,0,'Input-Output'!$E$12*Calculations!G74),0))</f>
        <v>0</v>
      </c>
      <c r="I74" s="21" t="s">
        <v>157</v>
      </c>
      <c r="J74" s="38"/>
      <c r="L74" s="15"/>
      <c r="M74" s="17"/>
      <c r="N74" s="15"/>
      <c r="O74" s="17"/>
    </row>
    <row r="75" spans="3:15" ht="15">
      <c r="C75" s="34"/>
      <c r="D75" s="27" t="s">
        <v>3</v>
      </c>
      <c r="E75" s="20" t="s">
        <v>22</v>
      </c>
      <c r="F75" s="20">
        <v>1.8</v>
      </c>
      <c r="G75" s="20">
        <f t="shared" si="2"/>
        <v>0.9</v>
      </c>
      <c r="H75" s="152">
        <f>IF($E$59=3,0,IF($C$60=3,IF($G$53=3,0,'Input-Output'!$E$12*Calculations!G75),0))</f>
        <v>0</v>
      </c>
      <c r="I75" s="21" t="s">
        <v>158</v>
      </c>
      <c r="L75" s="15"/>
      <c r="M75" s="17"/>
      <c r="N75" s="15"/>
      <c r="O75" s="17"/>
    </row>
    <row r="76" spans="3:15" ht="15">
      <c r="C76" s="128"/>
      <c r="D76" s="27" t="s">
        <v>153</v>
      </c>
      <c r="E76" s="20" t="s">
        <v>154</v>
      </c>
      <c r="F76" s="20">
        <v>0.028</v>
      </c>
      <c r="G76" s="20">
        <f t="shared" si="2"/>
        <v>0.014</v>
      </c>
      <c r="H76" s="152">
        <f>IF($E$59=3,0,IF($C$60=3,IF($G$53=3,0,'Input-Output'!$E$12*Calculations!G76),0))</f>
        <v>0</v>
      </c>
      <c r="I76" s="21" t="s">
        <v>151</v>
      </c>
      <c r="L76" s="15"/>
      <c r="M76" s="17"/>
      <c r="N76" s="15"/>
      <c r="O76" s="17"/>
    </row>
    <row r="77" spans="3:15" ht="15">
      <c r="C77" s="116"/>
      <c r="D77" s="27" t="s">
        <v>73</v>
      </c>
      <c r="E77" s="20" t="s">
        <v>74</v>
      </c>
      <c r="F77" s="20">
        <v>0.04</v>
      </c>
      <c r="G77" s="20">
        <f t="shared" si="2"/>
        <v>0.02</v>
      </c>
      <c r="H77" s="152">
        <f>IF($E$59=3,0,IF($C$60=3,IF($G$53=3,0,'Input-Output'!$E$12*Calculations!G77),0))</f>
        <v>0</v>
      </c>
      <c r="I77" s="21" t="s">
        <v>158</v>
      </c>
      <c r="L77" s="15"/>
      <c r="M77" s="17"/>
      <c r="N77" s="15"/>
      <c r="O77" s="17"/>
    </row>
    <row r="78" spans="3:15" ht="15">
      <c r="C78" s="34"/>
      <c r="D78" s="27" t="s">
        <v>4</v>
      </c>
      <c r="E78" s="20" t="s">
        <v>7</v>
      </c>
      <c r="F78" s="20">
        <v>0.017</v>
      </c>
      <c r="G78" s="20">
        <f t="shared" si="2"/>
        <v>0.0085</v>
      </c>
      <c r="H78" s="152">
        <f>IF($E$59=3,0,IF($C$60=3,IF($G$53=3,0,'Input-Output'!$E$12*Calculations!G78),0))</f>
        <v>0</v>
      </c>
      <c r="I78" s="21" t="s">
        <v>158</v>
      </c>
      <c r="L78" s="15"/>
      <c r="M78" s="17"/>
      <c r="N78" s="15"/>
      <c r="O78" s="17"/>
    </row>
    <row r="79" spans="3:15" ht="15">
      <c r="C79" s="34"/>
      <c r="D79" s="27" t="s">
        <v>5</v>
      </c>
      <c r="E79" s="20" t="s">
        <v>8</v>
      </c>
      <c r="F79" s="20">
        <v>0.013</v>
      </c>
      <c r="G79" s="20">
        <f t="shared" si="2"/>
        <v>0.0065</v>
      </c>
      <c r="H79" s="152">
        <f>IF($E$59=3,0,IF($C$60=3,IF($G$53=3,0,'Input-Output'!$E$12*Calculations!G79),0))</f>
        <v>0</v>
      </c>
      <c r="I79" s="21" t="s">
        <v>158</v>
      </c>
      <c r="L79" s="15"/>
      <c r="M79" s="17"/>
      <c r="N79" s="15"/>
      <c r="O79" s="17"/>
    </row>
    <row r="80" spans="3:15" ht="15">
      <c r="C80" s="34"/>
      <c r="D80" s="27" t="s">
        <v>75</v>
      </c>
      <c r="E80" s="20" t="s">
        <v>76</v>
      </c>
      <c r="F80" s="20">
        <v>0.0013</v>
      </c>
      <c r="G80" s="20">
        <f t="shared" si="2"/>
        <v>0.00065</v>
      </c>
      <c r="H80" s="152">
        <f>IF($E$59=3,0,IF($C$60=3,IF($G$53=3,0,'Input-Output'!$E$12*Calculations!G80),0))</f>
        <v>0</v>
      </c>
      <c r="I80" s="21" t="s">
        <v>158</v>
      </c>
      <c r="L80" s="15"/>
      <c r="M80" s="17"/>
      <c r="N80" s="15"/>
      <c r="O80" s="17"/>
    </row>
    <row r="81" spans="3:15" ht="15">
      <c r="C81" s="34"/>
      <c r="D81" s="27" t="s">
        <v>77</v>
      </c>
      <c r="E81" s="20" t="s">
        <v>78</v>
      </c>
      <c r="F81" s="20">
        <v>0.96</v>
      </c>
      <c r="G81" s="20">
        <f t="shared" si="2"/>
        <v>0.48</v>
      </c>
      <c r="H81" s="152">
        <f>IF($E$59=3,0,IF($C$60=3,IF($G$53=3,0,'Input-Output'!$E$12*Calculations!G81),0))</f>
        <v>0</v>
      </c>
      <c r="I81" s="21" t="s">
        <v>158</v>
      </c>
      <c r="L81" s="15"/>
      <c r="M81" s="17"/>
      <c r="N81" s="15"/>
      <c r="O81" s="17"/>
    </row>
    <row r="82" spans="3:15" ht="15">
      <c r="C82" s="34"/>
      <c r="D82" s="27" t="s">
        <v>79</v>
      </c>
      <c r="E82" s="20" t="s">
        <v>80</v>
      </c>
      <c r="F82" s="20">
        <v>0.00059</v>
      </c>
      <c r="G82" s="20">
        <f t="shared" si="2"/>
        <v>0.000295</v>
      </c>
      <c r="H82" s="152">
        <f>IF($E$59=3,0,IF($C$60=3,IF($G$53=3,0,'Input-Output'!$E$12*Calculations!G82),0))</f>
        <v>0</v>
      </c>
      <c r="I82" s="21" t="s">
        <v>158</v>
      </c>
      <c r="L82" s="15"/>
      <c r="M82" s="17"/>
      <c r="N82" s="15"/>
      <c r="O82" s="17"/>
    </row>
    <row r="83" spans="3:15" ht="15">
      <c r="C83" s="34"/>
      <c r="D83" s="27" t="s">
        <v>81</v>
      </c>
      <c r="E83" s="20" t="s">
        <v>82</v>
      </c>
      <c r="F83" s="20">
        <v>0.27</v>
      </c>
      <c r="G83" s="20">
        <f t="shared" si="2"/>
        <v>0.135</v>
      </c>
      <c r="H83" s="152">
        <f>IF($E$59=3,0,IF($C$60=3,IF($G$53=3,0,'Input-Output'!$E$12*Calculations!G83),0))</f>
        <v>0</v>
      </c>
      <c r="I83" s="21" t="s">
        <v>158</v>
      </c>
      <c r="L83" s="15"/>
      <c r="M83" s="17"/>
      <c r="N83" s="15"/>
      <c r="O83" s="17"/>
    </row>
    <row r="84" spans="3:15" ht="15">
      <c r="C84" s="19"/>
      <c r="D84" s="27" t="s">
        <v>6</v>
      </c>
      <c r="E84" s="20" t="s">
        <v>9</v>
      </c>
      <c r="F84" s="20">
        <v>0.014</v>
      </c>
      <c r="G84" s="20">
        <f t="shared" si="2"/>
        <v>0.007</v>
      </c>
      <c r="H84" s="152">
        <f>IF($E$59=3,0,IF($C$60=3,IF($G$53=3,0,'Input-Output'!$E$12*Calculations!G84),0))</f>
        <v>0</v>
      </c>
      <c r="I84" s="21" t="s">
        <v>158</v>
      </c>
      <c r="L84" s="15"/>
      <c r="M84" s="17"/>
      <c r="N84" s="15"/>
      <c r="O84" s="17"/>
    </row>
    <row r="85" spans="3:15" ht="15">
      <c r="C85" s="19"/>
      <c r="D85" s="27" t="s">
        <v>83</v>
      </c>
      <c r="E85" s="20" t="s">
        <v>84</v>
      </c>
      <c r="F85" s="20">
        <v>0.08</v>
      </c>
      <c r="G85" s="20">
        <f t="shared" si="2"/>
        <v>0.04</v>
      </c>
      <c r="H85" s="152">
        <f>IF($E$59=3,0,IF($C$60=3,IF($G$53=3,0,'Input-Output'!$E$12*Calculations!G85),0))</f>
        <v>0</v>
      </c>
      <c r="I85" s="21" t="s">
        <v>158</v>
      </c>
      <c r="L85" s="15"/>
      <c r="M85" s="17"/>
      <c r="N85" s="15"/>
      <c r="O85" s="17"/>
    </row>
    <row r="86" spans="3:15" ht="15">
      <c r="C86" s="19"/>
      <c r="D86" s="27" t="s">
        <v>10</v>
      </c>
      <c r="E86" s="20" t="s">
        <v>11</v>
      </c>
      <c r="F86" s="20">
        <v>0.039</v>
      </c>
      <c r="G86" s="20">
        <f t="shared" si="2"/>
        <v>0.0195</v>
      </c>
      <c r="H86" s="152">
        <f>IF($E$59=3,0,IF($C$60=3,IF($G$53=3,0,'Input-Output'!$E$12*Calculations!G86),0))</f>
        <v>0</v>
      </c>
      <c r="I86" s="21" t="s">
        <v>158</v>
      </c>
      <c r="L86" s="15"/>
      <c r="M86" s="17"/>
      <c r="N86" s="15"/>
      <c r="O86" s="17"/>
    </row>
    <row r="87" spans="3:15" ht="15">
      <c r="C87" s="19"/>
      <c r="D87" s="27" t="s">
        <v>12</v>
      </c>
      <c r="E87" s="20" t="s">
        <v>13</v>
      </c>
      <c r="F87" s="20">
        <v>0.0015</v>
      </c>
      <c r="G87" s="20">
        <f t="shared" si="2"/>
        <v>0.00075</v>
      </c>
      <c r="H87" s="152">
        <f>IF($E$59=3,0,IF($C$60=3,IF($G$53=3,0,'Input-Output'!$E$12*Calculations!G87),0))</f>
        <v>0</v>
      </c>
      <c r="I87" s="21" t="s">
        <v>158</v>
      </c>
      <c r="L87" s="15"/>
      <c r="M87" s="17"/>
      <c r="N87" s="15"/>
      <c r="O87" s="17"/>
    </row>
    <row r="88" spans="3:15" ht="15">
      <c r="C88" s="19"/>
      <c r="D88" s="27" t="s">
        <v>85</v>
      </c>
      <c r="E88" s="20" t="s">
        <v>86</v>
      </c>
      <c r="F88" s="20">
        <v>0.00075</v>
      </c>
      <c r="G88" s="20">
        <f t="shared" si="2"/>
        <v>0.000375</v>
      </c>
      <c r="H88" s="152">
        <f>IF($E$59=3,0,IF($C$60=3,IF($G$53=3,0,'Input-Output'!$E$12*Calculations!G88),0))</f>
        <v>0</v>
      </c>
      <c r="I88" s="21" t="s">
        <v>158</v>
      </c>
      <c r="L88" s="15"/>
      <c r="M88" s="17"/>
      <c r="N88" s="15"/>
      <c r="O88" s="17"/>
    </row>
    <row r="89" spans="3:15" ht="15">
      <c r="C89" s="19"/>
      <c r="D89" s="27" t="s">
        <v>87</v>
      </c>
      <c r="E89" s="20" t="s">
        <v>88</v>
      </c>
      <c r="F89" s="20">
        <v>0.017</v>
      </c>
      <c r="G89" s="20">
        <f t="shared" si="2"/>
        <v>0.0085</v>
      </c>
      <c r="H89" s="152">
        <f>IF($E$59=3,0,IF($C$60=3,IF($G$53=3,0,'Input-Output'!$E$12*Calculations!G89),0))</f>
        <v>0</v>
      </c>
      <c r="I89" s="21" t="s">
        <v>158</v>
      </c>
      <c r="L89" s="15"/>
      <c r="M89" s="17"/>
      <c r="N89" s="15"/>
      <c r="O89" s="17"/>
    </row>
    <row r="90" spans="3:15" ht="15">
      <c r="C90" s="19"/>
      <c r="D90" s="27" t="s">
        <v>14</v>
      </c>
      <c r="E90" s="20" t="s">
        <v>15</v>
      </c>
      <c r="F90" s="20">
        <v>0.0034</v>
      </c>
      <c r="G90" s="20">
        <f t="shared" si="2"/>
        <v>0.0017</v>
      </c>
      <c r="H90" s="152">
        <f>IF($E$59=3,0,IF($C$60=3,IF($G$53=3,0,'Input-Output'!$E$12*Calculations!G90),0))</f>
        <v>0</v>
      </c>
      <c r="I90" s="21" t="s">
        <v>158</v>
      </c>
      <c r="L90" s="15"/>
      <c r="M90" s="17"/>
      <c r="N90" s="15"/>
      <c r="O90" s="17"/>
    </row>
    <row r="91" spans="3:15" ht="15">
      <c r="C91" s="19"/>
      <c r="D91" s="27" t="s">
        <v>89</v>
      </c>
      <c r="E91" s="20" t="s">
        <v>90</v>
      </c>
      <c r="F91" s="20">
        <v>0.0024</v>
      </c>
      <c r="G91" s="20">
        <f t="shared" si="2"/>
        <v>0.0012</v>
      </c>
      <c r="H91" s="152">
        <f>IF($E$59=3,0,IF($C$60=3,IF($G$53=3,0,'Input-Output'!$E$12*Calculations!G91),0))</f>
        <v>0</v>
      </c>
      <c r="I91" s="21" t="s">
        <v>158</v>
      </c>
      <c r="L91" s="15"/>
      <c r="M91" s="17"/>
      <c r="N91" s="15"/>
      <c r="O91" s="17"/>
    </row>
    <row r="92" spans="3:15" ht="15">
      <c r="C92" s="39"/>
      <c r="D92" s="36" t="s">
        <v>91</v>
      </c>
      <c r="E92" s="37" t="s">
        <v>92</v>
      </c>
      <c r="F92" s="37">
        <v>0.0011</v>
      </c>
      <c r="G92" s="37">
        <f t="shared" si="2"/>
        <v>0.00055</v>
      </c>
      <c r="H92" s="152">
        <f>IF($E$59=3,0,IF($C$60=3,IF($G$53=3,0,'Input-Output'!$E$12*Calculations!G92),0))</f>
        <v>0</v>
      </c>
      <c r="I92" s="127" t="s">
        <v>158</v>
      </c>
      <c r="L92" s="15"/>
      <c r="M92" s="17"/>
      <c r="N92" s="15"/>
      <c r="O92" s="17"/>
    </row>
    <row r="93" spans="3:15" ht="18">
      <c r="C93" s="334" t="s">
        <v>95</v>
      </c>
      <c r="D93" s="27" t="s">
        <v>144</v>
      </c>
      <c r="E93" s="20" t="s">
        <v>22</v>
      </c>
      <c r="F93" s="20">
        <v>1.35</v>
      </c>
      <c r="G93" s="148">
        <f t="shared" si="2"/>
        <v>0.675</v>
      </c>
      <c r="H93" s="151">
        <f>IF($E$59=3,0,IF($C$60=3,IF($G$53=3,'Input-Output'!$E$12*Calculations!G93,0),0))</f>
        <v>0</v>
      </c>
      <c r="I93" s="21" t="s">
        <v>151</v>
      </c>
      <c r="L93" s="15"/>
      <c r="M93" s="17"/>
      <c r="N93" s="15"/>
      <c r="O93" s="17"/>
    </row>
    <row r="94" spans="3:15" ht="15.75" customHeight="1">
      <c r="C94" s="335"/>
      <c r="D94" s="27" t="s">
        <v>0</v>
      </c>
      <c r="E94" s="20" t="s">
        <v>22</v>
      </c>
      <c r="F94" s="20">
        <v>0.14</v>
      </c>
      <c r="G94" s="20">
        <f t="shared" si="2"/>
        <v>0.07</v>
      </c>
      <c r="H94" s="152">
        <f>IF($E$59=3,0,IF($C$60=3,IF($G$53=3,'Input-Output'!$E$12*Calculations!G94,0),0))</f>
        <v>0</v>
      </c>
      <c r="I94" s="21" t="s">
        <v>152</v>
      </c>
      <c r="L94" s="15"/>
      <c r="M94" s="17"/>
      <c r="N94" s="15"/>
      <c r="O94" s="17"/>
    </row>
    <row r="95" spans="3:15" ht="15">
      <c r="C95" s="335"/>
      <c r="D95" s="27" t="s">
        <v>3</v>
      </c>
      <c r="E95" s="20" t="s">
        <v>22</v>
      </c>
      <c r="F95" s="20">
        <v>0.17</v>
      </c>
      <c r="G95" s="20">
        <f t="shared" si="2"/>
        <v>0.085</v>
      </c>
      <c r="H95" s="152">
        <f>IF($E$59=3,0,IF($C$60=3,IF($G$53=3,'Input-Output'!$E$12*Calculations!G95,0),0))</f>
        <v>0</v>
      </c>
      <c r="I95" s="21" t="s">
        <v>151</v>
      </c>
      <c r="L95" s="15"/>
      <c r="M95" s="17"/>
      <c r="N95" s="15"/>
      <c r="O95" s="17"/>
    </row>
    <row r="96" spans="3:15" ht="15">
      <c r="C96" s="122"/>
      <c r="D96" s="27" t="s">
        <v>153</v>
      </c>
      <c r="E96" s="20" t="s">
        <v>154</v>
      </c>
      <c r="F96" s="20">
        <v>0.062</v>
      </c>
      <c r="G96" s="20">
        <f t="shared" si="2"/>
        <v>0.031</v>
      </c>
      <c r="H96" s="152">
        <f>IF($E$59=3,0,IF($C$60=3,IF($G$53=3,'Input-Output'!$E$12*Calculations!G96,0),0))</f>
        <v>0</v>
      </c>
      <c r="I96" s="21" t="s">
        <v>151</v>
      </c>
      <c r="L96" s="15"/>
      <c r="M96" s="17"/>
      <c r="N96" s="15"/>
      <c r="O96" s="17"/>
    </row>
    <row r="97" spans="3:15" ht="15">
      <c r="C97" s="19"/>
      <c r="D97" s="27" t="s">
        <v>4</v>
      </c>
      <c r="E97" s="20" t="s">
        <v>7</v>
      </c>
      <c r="F97" s="20">
        <v>0.0019</v>
      </c>
      <c r="G97" s="20">
        <f t="shared" si="2"/>
        <v>0.00095</v>
      </c>
      <c r="H97" s="152">
        <f>IF($E$59=3,0,IF($C$60=3,IF($G$53=3,'Input-Output'!$E$12*Calculations!G97,0),0))</f>
        <v>0</v>
      </c>
      <c r="I97" s="21" t="s">
        <v>152</v>
      </c>
      <c r="L97" s="15"/>
      <c r="M97" s="17"/>
      <c r="N97" s="15"/>
      <c r="O97" s="17"/>
    </row>
    <row r="98" spans="3:15" ht="15">
      <c r="C98" s="19"/>
      <c r="D98" s="27" t="s">
        <v>5</v>
      </c>
      <c r="E98" s="20" t="s">
        <v>8</v>
      </c>
      <c r="F98" s="20">
        <v>0.0017</v>
      </c>
      <c r="G98" s="20">
        <f t="shared" si="2"/>
        <v>0.00085</v>
      </c>
      <c r="H98" s="152">
        <f>IF($E$59=3,0,IF($C$60=3,IF($G$53=3,'Input-Output'!$E$12*Calculations!G98,0),0))</f>
        <v>0</v>
      </c>
      <c r="I98" s="21" t="s">
        <v>152</v>
      </c>
      <c r="L98" s="15"/>
      <c r="M98" s="17"/>
      <c r="N98" s="15"/>
      <c r="O98" s="17"/>
    </row>
    <row r="99" spans="3:15" ht="15">
      <c r="C99" s="19"/>
      <c r="D99" s="27" t="s">
        <v>77</v>
      </c>
      <c r="E99" s="20" t="s">
        <v>78</v>
      </c>
      <c r="F99" s="20">
        <v>0.026</v>
      </c>
      <c r="G99" s="20">
        <f t="shared" si="2"/>
        <v>0.013</v>
      </c>
      <c r="H99" s="152">
        <f>IF($E$59=3,0,IF($C$60=3,IF($G$53=3,'Input-Output'!$E$12*Calculations!G99,0),0))</f>
        <v>0</v>
      </c>
      <c r="I99" s="21" t="s">
        <v>152</v>
      </c>
      <c r="L99" s="15"/>
      <c r="M99" s="17"/>
      <c r="N99" s="15"/>
      <c r="O99" s="17"/>
    </row>
    <row r="100" spans="3:15" ht="15">
      <c r="C100" s="19"/>
      <c r="D100" s="27" t="s">
        <v>79</v>
      </c>
      <c r="E100" s="20" t="s">
        <v>80</v>
      </c>
      <c r="F100" s="20">
        <v>0.0004</v>
      </c>
      <c r="G100" s="20">
        <f t="shared" si="2"/>
        <v>0.0002</v>
      </c>
      <c r="H100" s="152">
        <f>IF($E$59=3,0,IF($C$60=3,IF($G$53=3,'Input-Output'!$E$12*Calculations!G100,0),0))</f>
        <v>0</v>
      </c>
      <c r="I100" s="21" t="s">
        <v>151</v>
      </c>
      <c r="L100" s="15"/>
      <c r="M100" s="17"/>
      <c r="N100" s="15"/>
      <c r="O100" s="17"/>
    </row>
    <row r="101" spans="3:15" ht="15">
      <c r="C101" s="19"/>
      <c r="D101" s="27" t="s">
        <v>6</v>
      </c>
      <c r="E101" s="20" t="s">
        <v>9</v>
      </c>
      <c r="F101" s="20">
        <v>0.0023</v>
      </c>
      <c r="G101" s="20">
        <f t="shared" si="2"/>
        <v>0.00115</v>
      </c>
      <c r="H101" s="152">
        <f>IF($E$59=3,0,IF($C$60=3,IF($G$53=3,'Input-Output'!$E$12*Calculations!G101,0),0))</f>
        <v>0</v>
      </c>
      <c r="I101" s="21" t="s">
        <v>152</v>
      </c>
      <c r="L101" s="15"/>
      <c r="M101" s="17"/>
      <c r="N101" s="15"/>
      <c r="O101" s="17"/>
    </row>
    <row r="102" spans="3:15" ht="15">
      <c r="C102" s="19"/>
      <c r="D102" s="27" t="s">
        <v>10</v>
      </c>
      <c r="E102" s="20" t="s">
        <v>11</v>
      </c>
      <c r="F102" s="20">
        <v>0.0023</v>
      </c>
      <c r="G102" s="20">
        <f t="shared" si="2"/>
        <v>0.00115</v>
      </c>
      <c r="H102" s="152">
        <f>IF($E$59=3,0,IF($C$60=3,IF($G$53=3,'Input-Output'!$E$12*Calculations!G102,0),0))</f>
        <v>0</v>
      </c>
      <c r="I102" s="21" t="s">
        <v>152</v>
      </c>
      <c r="L102" s="15"/>
      <c r="M102" s="17"/>
      <c r="N102" s="15"/>
      <c r="O102" s="17"/>
    </row>
    <row r="103" spans="3:15" ht="15">
      <c r="C103" s="39"/>
      <c r="D103" s="36" t="s">
        <v>14</v>
      </c>
      <c r="E103" s="37" t="s">
        <v>15</v>
      </c>
      <c r="F103" s="37">
        <v>0.005</v>
      </c>
      <c r="G103" s="37">
        <f t="shared" si="2"/>
        <v>0.0025</v>
      </c>
      <c r="H103" s="153">
        <f>IF($E$59=3,0,IF($C$60=3,IF($G$53=3,'Input-Output'!$E$12*Calculations!G103,0),0))</f>
        <v>0</v>
      </c>
      <c r="I103" s="127" t="s">
        <v>152</v>
      </c>
      <c r="L103" s="15"/>
      <c r="M103" s="17"/>
      <c r="N103" s="15"/>
      <c r="O103" s="17"/>
    </row>
    <row r="104" spans="3:15" ht="18">
      <c r="C104" s="334" t="s">
        <v>169</v>
      </c>
      <c r="D104" s="27" t="s">
        <v>144</v>
      </c>
      <c r="E104" s="20" t="s">
        <v>22</v>
      </c>
      <c r="F104" s="20" t="s">
        <v>22</v>
      </c>
      <c r="G104" s="148">
        <v>0.675</v>
      </c>
      <c r="H104" s="151">
        <f>IF($E$59=3,0,IF($C$60=3,IF($G$53=4,'Input-Output'!$E$12*Calculations!G104,0),0))</f>
        <v>0</v>
      </c>
      <c r="I104" s="21" t="s">
        <v>151</v>
      </c>
      <c r="L104" s="15"/>
      <c r="M104" s="17"/>
      <c r="N104" s="15"/>
      <c r="O104" s="17"/>
    </row>
    <row r="105" spans="3:15" ht="15.75" customHeight="1">
      <c r="C105" s="335"/>
      <c r="D105" s="27" t="s">
        <v>0</v>
      </c>
      <c r="E105" s="20" t="s">
        <v>22</v>
      </c>
      <c r="F105" s="20" t="s">
        <v>22</v>
      </c>
      <c r="G105" s="156">
        <f>0.75*G157/G127</f>
        <v>0.10714285714285712</v>
      </c>
      <c r="H105" s="152">
        <f>IF($E$59=3,0,IF($C$60=3,IF($G$53=4,'Input-Output'!$E$12*Calculations!G105,0),0))</f>
        <v>0</v>
      </c>
      <c r="I105" s="21" t="s">
        <v>151</v>
      </c>
      <c r="L105" s="15"/>
      <c r="M105" s="17"/>
      <c r="N105" s="15"/>
      <c r="O105" s="17"/>
    </row>
    <row r="106" spans="3:15" ht="15">
      <c r="C106" s="335"/>
      <c r="D106" s="27" t="s">
        <v>3</v>
      </c>
      <c r="E106" s="20" t="s">
        <v>22</v>
      </c>
      <c r="F106" s="20" t="s">
        <v>22</v>
      </c>
      <c r="G106" s="156">
        <f>0.9*G159/G128</f>
        <v>0.1296</v>
      </c>
      <c r="H106" s="152">
        <f>IF($E$59=3,0,IF($C$60=3,IF($G$53=4,'Input-Output'!$E$12*Calculations!G106,0),0))</f>
        <v>0</v>
      </c>
      <c r="I106" s="21" t="s">
        <v>151</v>
      </c>
      <c r="L106" s="15"/>
      <c r="M106" s="17"/>
      <c r="N106" s="15"/>
      <c r="O106" s="17"/>
    </row>
    <row r="107" spans="3:15" ht="15">
      <c r="C107" s="122"/>
      <c r="D107" s="27" t="s">
        <v>153</v>
      </c>
      <c r="E107" s="20" t="s">
        <v>154</v>
      </c>
      <c r="F107" s="20" t="s">
        <v>22</v>
      </c>
      <c r="G107" s="155">
        <f>G160/G129*0.014</f>
        <v>0.00016625</v>
      </c>
      <c r="H107" s="152">
        <f>IF($E$59=3,0,IF($C$60=3,IF($G$53=4,'Input-Output'!$E$12*Calculations!G107,0),0))</f>
        <v>0</v>
      </c>
      <c r="I107" s="21" t="s">
        <v>151</v>
      </c>
      <c r="L107" s="15"/>
      <c r="M107" s="17"/>
      <c r="N107" s="15"/>
      <c r="O107" s="17"/>
    </row>
    <row r="108" spans="3:15" ht="15">
      <c r="C108" s="19"/>
      <c r="D108" s="27" t="s">
        <v>4</v>
      </c>
      <c r="E108" s="20" t="s">
        <v>7</v>
      </c>
      <c r="F108" s="20" t="s">
        <v>22</v>
      </c>
      <c r="G108" s="146">
        <f>0.0085*G161/G131</f>
        <v>0.008362903225806451</v>
      </c>
      <c r="H108" s="152">
        <f>IF($E$59=3,0,IF($C$60=3,IF($G$53=4,'Input-Output'!$E$12*Calculations!G108,0),0))</f>
        <v>0</v>
      </c>
      <c r="I108" s="21" t="s">
        <v>151</v>
      </c>
      <c r="L108" s="15"/>
      <c r="M108" s="17"/>
      <c r="N108" s="15"/>
      <c r="O108" s="17"/>
    </row>
    <row r="109" spans="3:15" ht="15">
      <c r="C109" s="19"/>
      <c r="D109" s="27" t="s">
        <v>5</v>
      </c>
      <c r="E109" s="20" t="s">
        <v>8</v>
      </c>
      <c r="F109" s="20" t="s">
        <v>22</v>
      </c>
      <c r="G109" s="146">
        <f>0.0065*G162/G132</f>
        <v>0.005288135593220339</v>
      </c>
      <c r="H109" s="152">
        <f>IF($E$59=3,0,IF($C$60=3,IF($G$53=4,'Input-Output'!$E$12*Calculations!G109,0),0))</f>
        <v>0</v>
      </c>
      <c r="I109" s="21" t="s">
        <v>151</v>
      </c>
      <c r="L109" s="15"/>
      <c r="M109" s="17"/>
      <c r="N109" s="15"/>
      <c r="O109" s="17"/>
    </row>
    <row r="110" spans="3:15" ht="15">
      <c r="C110" s="19"/>
      <c r="D110" s="27" t="s">
        <v>6</v>
      </c>
      <c r="E110" s="20" t="s">
        <v>9</v>
      </c>
      <c r="F110" s="20" t="s">
        <v>22</v>
      </c>
      <c r="G110" s="146">
        <f>0.007*G163/G137</f>
        <v>0.00415625</v>
      </c>
      <c r="H110" s="152">
        <f>IF($E$59=3,0,IF($C$60=3,IF($G$53=4,'Input-Output'!$E$12*Calculations!G110,0),0))</f>
        <v>0</v>
      </c>
      <c r="I110" s="21" t="s">
        <v>151</v>
      </c>
      <c r="L110" s="15"/>
      <c r="M110" s="17"/>
      <c r="N110" s="15"/>
      <c r="O110" s="17"/>
    </row>
    <row r="111" spans="3:15" ht="15">
      <c r="C111" s="19"/>
      <c r="D111" s="27" t="s">
        <v>10</v>
      </c>
      <c r="E111" s="20" t="s">
        <v>11</v>
      </c>
      <c r="F111" s="20" t="s">
        <v>22</v>
      </c>
      <c r="G111" s="146">
        <f>0.0195*G164/G140</f>
        <v>0.0026541666666666667</v>
      </c>
      <c r="H111" s="152">
        <f>IF($E$59=3,0,IF($C$60=3,IF($G$53=4,'Input-Output'!$E$12*Calculations!G111,0),0))</f>
        <v>0</v>
      </c>
      <c r="I111" s="21" t="s">
        <v>151</v>
      </c>
      <c r="L111" s="15"/>
      <c r="M111" s="17"/>
      <c r="N111" s="15"/>
      <c r="O111" s="17"/>
    </row>
    <row r="112" spans="3:15" ht="15">
      <c r="C112" s="39"/>
      <c r="D112" s="36" t="s">
        <v>14</v>
      </c>
      <c r="E112" s="37" t="s">
        <v>15</v>
      </c>
      <c r="F112" s="37" t="s">
        <v>22</v>
      </c>
      <c r="G112" s="147">
        <f>0.0017*G165/G144</f>
        <v>0.001558333333333333</v>
      </c>
      <c r="H112" s="153">
        <f>IF($E$59=3,0,IF($C$60=3,IF($G$53=4,'Input-Output'!$E$12*Calculations!G112,0),0))</f>
        <v>0</v>
      </c>
      <c r="I112" s="127" t="s">
        <v>151</v>
      </c>
      <c r="L112" s="15"/>
      <c r="M112" s="17"/>
      <c r="N112" s="15"/>
      <c r="O112" s="17"/>
    </row>
    <row r="113" spans="3:15" ht="15">
      <c r="C113" s="337" t="s">
        <v>60</v>
      </c>
      <c r="D113" s="27" t="s">
        <v>0</v>
      </c>
      <c r="E113" s="20" t="s">
        <v>22</v>
      </c>
      <c r="F113" s="20">
        <v>0.05</v>
      </c>
      <c r="G113" s="20">
        <f t="shared" si="2"/>
        <v>0.025</v>
      </c>
      <c r="H113" s="152">
        <f>IF($E$59=3,0,IF($C$60=3,'Input-Output'!$E$12*Calculations!G113,0))</f>
        <v>0</v>
      </c>
      <c r="I113" s="21" t="s">
        <v>152</v>
      </c>
      <c r="L113" s="15"/>
      <c r="M113" s="17"/>
      <c r="N113" s="15"/>
      <c r="O113" s="17"/>
    </row>
    <row r="114" spans="3:15" ht="15">
      <c r="C114" s="337"/>
      <c r="D114" s="27" t="s">
        <v>3</v>
      </c>
      <c r="E114" s="20" t="s">
        <v>22</v>
      </c>
      <c r="F114" s="20">
        <v>0.054</v>
      </c>
      <c r="G114" s="20">
        <f t="shared" si="2"/>
        <v>0.027</v>
      </c>
      <c r="H114" s="152">
        <f>IF($E$59=3,0,IF($C$60=3,'Input-Output'!$E$12*Calculations!G114,0))</f>
        <v>0</v>
      </c>
      <c r="I114" s="21" t="s">
        <v>151</v>
      </c>
      <c r="L114" s="15"/>
      <c r="M114" s="17"/>
      <c r="N114" s="15"/>
      <c r="O114" s="17"/>
    </row>
    <row r="115" spans="3:15" ht="15">
      <c r="C115" s="116"/>
      <c r="D115" s="27" t="s">
        <v>153</v>
      </c>
      <c r="E115" s="20" t="s">
        <v>154</v>
      </c>
      <c r="F115" s="20">
        <v>0.043</v>
      </c>
      <c r="G115" s="20">
        <f t="shared" si="2"/>
        <v>0.0215</v>
      </c>
      <c r="H115" s="152">
        <f>IF($E$59=3,0,IF($C$60=3,'Input-Output'!$E$12*Calculations!G115,0))</f>
        <v>0</v>
      </c>
      <c r="I115" s="21" t="s">
        <v>151</v>
      </c>
      <c r="L115" s="15"/>
      <c r="M115" s="17"/>
      <c r="N115" s="15"/>
      <c r="O115" s="17"/>
    </row>
    <row r="116" spans="3:15" ht="15">
      <c r="C116" s="34"/>
      <c r="D116" s="27" t="s">
        <v>4</v>
      </c>
      <c r="E116" s="20" t="s">
        <v>7</v>
      </c>
      <c r="F116" s="20">
        <v>0.0046</v>
      </c>
      <c r="G116" s="20">
        <f t="shared" si="2"/>
        <v>0.0023</v>
      </c>
      <c r="H116" s="152">
        <f>IF($E$59=3,0,IF($C$60=3,'Input-Output'!$E$12*Calculations!G116,0))</f>
        <v>0</v>
      </c>
      <c r="I116" s="21" t="s">
        <v>152</v>
      </c>
      <c r="L116" s="15"/>
      <c r="M116" s="17"/>
      <c r="N116" s="15"/>
      <c r="O116" s="17"/>
    </row>
    <row r="117" spans="3:15" ht="15">
      <c r="C117" s="19"/>
      <c r="D117" s="27" t="s">
        <v>5</v>
      </c>
      <c r="E117" s="20" t="s">
        <v>8</v>
      </c>
      <c r="F117" s="20">
        <v>0.0085</v>
      </c>
      <c r="G117" s="20">
        <f t="shared" si="2"/>
        <v>0.00425</v>
      </c>
      <c r="H117" s="152">
        <f>IF($E$59=3,0,IF($C$60=3,'Input-Output'!$E$12*Calculations!G117,0))</f>
        <v>0</v>
      </c>
      <c r="I117" s="21" t="s">
        <v>152</v>
      </c>
      <c r="L117" s="15"/>
      <c r="M117" s="17"/>
      <c r="N117" s="15"/>
      <c r="O117" s="17"/>
    </row>
    <row r="118" spans="3:15" ht="15">
      <c r="C118" s="19"/>
      <c r="D118" s="27" t="s">
        <v>77</v>
      </c>
      <c r="E118" s="20" t="s">
        <v>78</v>
      </c>
      <c r="F118" s="20">
        <v>0.049</v>
      </c>
      <c r="G118" s="20">
        <f t="shared" si="2"/>
        <v>0.0245</v>
      </c>
      <c r="H118" s="152">
        <f>IF($E$59=3,0,IF($C$60=3,'Input-Output'!$E$12*Calculations!G118,0))</f>
        <v>0</v>
      </c>
      <c r="I118" s="21" t="s">
        <v>152</v>
      </c>
      <c r="L118" s="15"/>
      <c r="M118" s="17"/>
      <c r="N118" s="15"/>
      <c r="O118" s="17"/>
    </row>
    <row r="119" spans="3:15" ht="15">
      <c r="C119" s="19"/>
      <c r="D119" s="27" t="s">
        <v>6</v>
      </c>
      <c r="E119" s="20" t="s">
        <v>9</v>
      </c>
      <c r="F119" s="20">
        <v>0.0013</v>
      </c>
      <c r="G119" s="20">
        <f t="shared" si="2"/>
        <v>0.00065</v>
      </c>
      <c r="H119" s="152">
        <f>IF($E$59=3,0,IF($C$60=3,'Input-Output'!$E$12*Calculations!G119,0))</f>
        <v>0</v>
      </c>
      <c r="I119" s="21" t="s">
        <v>152</v>
      </c>
      <c r="L119" s="15"/>
      <c r="M119" s="17"/>
      <c r="N119" s="15"/>
      <c r="O119" s="17"/>
    </row>
    <row r="120" spans="3:15" ht="15">
      <c r="C120" s="19"/>
      <c r="D120" s="27" t="s">
        <v>10</v>
      </c>
      <c r="E120" s="20" t="s">
        <v>11</v>
      </c>
      <c r="F120" s="20">
        <v>0.01</v>
      </c>
      <c r="G120" s="20">
        <f t="shared" si="2"/>
        <v>0.005</v>
      </c>
      <c r="H120" s="152">
        <f>IF($E$59=3,0,IF($C$60=3,'Input-Output'!$E$12*Calculations!G120,0))</f>
        <v>0</v>
      </c>
      <c r="I120" s="21" t="s">
        <v>152</v>
      </c>
      <c r="L120" s="15"/>
      <c r="M120" s="17"/>
      <c r="N120" s="15"/>
      <c r="O120" s="17"/>
    </row>
    <row r="121" spans="3:15" ht="15">
      <c r="C121" s="19"/>
      <c r="D121" s="27" t="s">
        <v>12</v>
      </c>
      <c r="E121" s="20" t="s">
        <v>13</v>
      </c>
      <c r="F121" s="20">
        <v>0.0054</v>
      </c>
      <c r="G121" s="20">
        <f t="shared" si="2"/>
        <v>0.0027</v>
      </c>
      <c r="H121" s="152">
        <f>IF($E$59=3,0,IF($C$60=3,'Input-Output'!$E$12*Calculations!G121,0))</f>
        <v>0</v>
      </c>
      <c r="I121" s="21" t="s">
        <v>152</v>
      </c>
      <c r="L121" s="15"/>
      <c r="M121" s="17"/>
      <c r="N121" s="15"/>
      <c r="O121" s="17"/>
    </row>
    <row r="122" spans="3:15" ht="15">
      <c r="C122" s="19"/>
      <c r="D122" s="27" t="s">
        <v>85</v>
      </c>
      <c r="E122" s="20" t="s">
        <v>86</v>
      </c>
      <c r="F122" s="20">
        <v>0.0019</v>
      </c>
      <c r="G122" s="20">
        <f t="shared" si="2"/>
        <v>0.00095</v>
      </c>
      <c r="H122" s="152">
        <f>IF($E$59=3,0,IF($C$60=3,'Input-Output'!$E$12*Calculations!G122,0))</f>
        <v>0</v>
      </c>
      <c r="I122" s="21" t="s">
        <v>152</v>
      </c>
      <c r="L122" s="15"/>
      <c r="M122" s="17"/>
      <c r="N122" s="15"/>
      <c r="O122" s="17"/>
    </row>
    <row r="123" spans="3:15" ht="15">
      <c r="C123" s="19"/>
      <c r="D123" s="27" t="s">
        <v>93</v>
      </c>
      <c r="E123" s="20" t="s">
        <v>94</v>
      </c>
      <c r="F123" s="20">
        <v>0.0014</v>
      </c>
      <c r="G123" s="20">
        <f t="shared" si="2"/>
        <v>0.0007</v>
      </c>
      <c r="H123" s="152">
        <f>IF($E$59=3,0,IF($C$60=3,'Input-Output'!$E$12*Calculations!G123,0))</f>
        <v>0</v>
      </c>
      <c r="I123" s="21" t="s">
        <v>152</v>
      </c>
      <c r="L123" s="15"/>
      <c r="M123" s="17"/>
      <c r="N123" s="15"/>
      <c r="O123" s="17"/>
    </row>
    <row r="124" spans="3:15" ht="15">
      <c r="C124" s="39"/>
      <c r="D124" s="36" t="s">
        <v>14</v>
      </c>
      <c r="E124" s="37" t="s">
        <v>15</v>
      </c>
      <c r="F124" s="37">
        <v>0.0062</v>
      </c>
      <c r="G124" s="37">
        <f t="shared" si="2"/>
        <v>0.0031</v>
      </c>
      <c r="H124" s="152">
        <f>IF($E$59=3,0,IF($C$60=3,'Input-Output'!$E$12*Calculations!G124,0))</f>
        <v>0</v>
      </c>
      <c r="I124" s="127" t="s">
        <v>152</v>
      </c>
      <c r="L124" s="15"/>
      <c r="M124" s="17"/>
      <c r="N124" s="15"/>
      <c r="O124" s="17"/>
    </row>
    <row r="125" spans="3:15" ht="15">
      <c r="C125" s="334" t="s">
        <v>173</v>
      </c>
      <c r="D125" s="27" t="s">
        <v>219</v>
      </c>
      <c r="E125" s="20" t="s">
        <v>72</v>
      </c>
      <c r="F125" s="20">
        <v>0.012</v>
      </c>
      <c r="G125" s="148">
        <f t="shared" si="2"/>
        <v>0.006</v>
      </c>
      <c r="H125" s="151">
        <f>IF($E$59=3,0,IF($C$60=4,IF($G$53=2,'Input-Output'!$E$12*Calculations!G125,0),0))</f>
        <v>0</v>
      </c>
      <c r="I125" s="21" t="s">
        <v>152</v>
      </c>
      <c r="L125" s="15"/>
      <c r="M125" s="17"/>
      <c r="N125" s="15"/>
      <c r="O125" s="17"/>
    </row>
    <row r="126" spans="3:15" ht="15">
      <c r="C126" s="335"/>
      <c r="D126" s="27" t="s">
        <v>143</v>
      </c>
      <c r="E126" s="20" t="s">
        <v>22</v>
      </c>
      <c r="F126" s="20">
        <v>0.499</v>
      </c>
      <c r="G126" s="20">
        <f t="shared" si="2"/>
        <v>0.2495</v>
      </c>
      <c r="H126" s="152">
        <f>IF($E$59=3,0,IF($C$60=4,IF($G$53=2,'Input-Output'!$E$12*Calculations!G126,0),0))</f>
        <v>0</v>
      </c>
      <c r="I126" s="21" t="s">
        <v>152</v>
      </c>
      <c r="L126" s="15"/>
      <c r="M126" s="17"/>
      <c r="N126" s="15"/>
      <c r="O126" s="17"/>
    </row>
    <row r="127" spans="3:15" ht="15">
      <c r="C127" s="335"/>
      <c r="D127" s="27" t="s">
        <v>0</v>
      </c>
      <c r="E127" s="20" t="s">
        <v>22</v>
      </c>
      <c r="F127" s="20">
        <v>2.1</v>
      </c>
      <c r="G127" s="20">
        <f t="shared" si="2"/>
        <v>1.05</v>
      </c>
      <c r="H127" s="152">
        <f>IF($E$59=3,0,IF($C$60=4,IF($G$53=2,'Input-Output'!$E$12*Calculations!G127,0),0))</f>
        <v>0</v>
      </c>
      <c r="I127" s="21" t="s">
        <v>152</v>
      </c>
      <c r="L127" s="15"/>
      <c r="M127" s="17"/>
      <c r="N127" s="15"/>
      <c r="O127" s="17"/>
    </row>
    <row r="128" spans="3:15" ht="15">
      <c r="C128" s="34"/>
      <c r="D128" s="27" t="s">
        <v>3</v>
      </c>
      <c r="E128" s="20" t="s">
        <v>22</v>
      </c>
      <c r="F128" s="20">
        <v>2.5</v>
      </c>
      <c r="G128" s="20">
        <f t="shared" si="2"/>
        <v>1.25</v>
      </c>
      <c r="H128" s="152">
        <f>IF($E$59=3,0,IF($C$60=4,IF($G$53=2,'Input-Output'!$E$12*Calculations!G128,0),0))</f>
        <v>0</v>
      </c>
      <c r="I128" s="21" t="s">
        <v>151</v>
      </c>
      <c r="L128" s="15"/>
      <c r="M128" s="17"/>
      <c r="N128" s="15"/>
      <c r="O128" s="17"/>
    </row>
    <row r="129" spans="3:15" ht="15">
      <c r="C129" s="34"/>
      <c r="D129" s="27" t="s">
        <v>153</v>
      </c>
      <c r="E129" s="20" t="s">
        <v>154</v>
      </c>
      <c r="F129" s="20">
        <v>0.64</v>
      </c>
      <c r="G129" s="20">
        <f t="shared" si="2"/>
        <v>0.32</v>
      </c>
      <c r="H129" s="152">
        <f>IF($E$59=3,0,IF($C$60=4,IF($G$53=2,'Input-Output'!$E$12*Calculations!G129,0),0))</f>
        <v>0</v>
      </c>
      <c r="I129" s="21" t="s">
        <v>152</v>
      </c>
      <c r="L129" s="15"/>
      <c r="M129" s="17"/>
      <c r="N129" s="15"/>
      <c r="O129" s="17"/>
    </row>
    <row r="130" spans="3:15" ht="15">
      <c r="C130" s="34"/>
      <c r="D130" s="27" t="s">
        <v>155</v>
      </c>
      <c r="E130" s="20" t="s">
        <v>156</v>
      </c>
      <c r="F130" s="20">
        <v>28</v>
      </c>
      <c r="G130" s="20">
        <f t="shared" si="2"/>
        <v>14</v>
      </c>
      <c r="H130" s="152">
        <f>IF($E$59=3,0,IF($C$60=4,IF($G$53=2,'Input-Output'!$E$12*Calculations!G130,0),0))</f>
        <v>0</v>
      </c>
      <c r="I130" s="21" t="s">
        <v>152</v>
      </c>
      <c r="L130" s="15"/>
      <c r="M130" s="17"/>
      <c r="N130" s="15"/>
      <c r="O130" s="17"/>
    </row>
    <row r="131" spans="3:15" ht="15">
      <c r="C131" s="34"/>
      <c r="D131" s="27" t="s">
        <v>4</v>
      </c>
      <c r="E131" s="20" t="s">
        <v>7</v>
      </c>
      <c r="F131" s="20">
        <v>0.062</v>
      </c>
      <c r="G131" s="20">
        <f t="shared" si="2"/>
        <v>0.031</v>
      </c>
      <c r="H131" s="152">
        <f>IF($E$59=3,0,IF($C$60=4,IF($G$53=2,'Input-Output'!$E$12*Calculations!G131,0),0))</f>
        <v>0</v>
      </c>
      <c r="I131" s="21" t="s">
        <v>152</v>
      </c>
      <c r="L131" s="15"/>
      <c r="M131" s="17"/>
      <c r="N131" s="15"/>
      <c r="O131" s="17"/>
    </row>
    <row r="132" spans="3:15" ht="15">
      <c r="C132" s="34"/>
      <c r="D132" s="27" t="s">
        <v>5</v>
      </c>
      <c r="E132" s="20" t="s">
        <v>8</v>
      </c>
      <c r="F132" s="20">
        <v>0.059</v>
      </c>
      <c r="G132" s="20">
        <f t="shared" si="2"/>
        <v>0.0295</v>
      </c>
      <c r="H132" s="152">
        <f>IF($E$59=3,0,IF($C$60=4,IF($G$53=2,'Input-Output'!$E$12*Calculations!G132,0),0))</f>
        <v>0</v>
      </c>
      <c r="I132" s="21" t="s">
        <v>152</v>
      </c>
      <c r="L132" s="15"/>
      <c r="M132" s="17"/>
      <c r="N132" s="15"/>
      <c r="O132" s="17"/>
    </row>
    <row r="133" spans="3:15" ht="15">
      <c r="C133" s="34"/>
      <c r="D133" s="27" t="s">
        <v>75</v>
      </c>
      <c r="E133" s="20" t="s">
        <v>76</v>
      </c>
      <c r="F133" s="20">
        <v>0.009</v>
      </c>
      <c r="G133" s="20">
        <f t="shared" si="2"/>
        <v>0.0045</v>
      </c>
      <c r="H133" s="152">
        <f>IF($E$59=3,0,IF($C$60=4,IF($G$53=2,'Input-Output'!$E$12*Calculations!G133,0),0))</f>
        <v>0</v>
      </c>
      <c r="I133" s="21" t="s">
        <v>152</v>
      </c>
      <c r="L133" s="15"/>
      <c r="M133" s="17"/>
      <c r="N133" s="15"/>
      <c r="O133" s="17"/>
    </row>
    <row r="134" spans="3:15" ht="15">
      <c r="C134" s="34"/>
      <c r="D134" s="27" t="s">
        <v>77</v>
      </c>
      <c r="E134" s="20" t="s">
        <v>78</v>
      </c>
      <c r="F134" s="20">
        <v>1</v>
      </c>
      <c r="G134" s="20">
        <f t="shared" si="2"/>
        <v>0.5</v>
      </c>
      <c r="H134" s="152">
        <f>IF($E$59=3,0,IF($C$60=4,IF($G$53=2,'Input-Output'!$E$12*Calculations!G134,0),0))</f>
        <v>0</v>
      </c>
      <c r="I134" s="21" t="s">
        <v>152</v>
      </c>
      <c r="L134" s="15"/>
      <c r="M134" s="17"/>
      <c r="N134" s="15"/>
      <c r="O134" s="17"/>
    </row>
    <row r="135" spans="3:15" ht="15">
      <c r="C135" s="34"/>
      <c r="D135" s="27" t="s">
        <v>79</v>
      </c>
      <c r="E135" s="20" t="s">
        <v>80</v>
      </c>
      <c r="F135" s="20">
        <v>0.0057</v>
      </c>
      <c r="G135" s="20">
        <f t="shared" si="2"/>
        <v>0.00285</v>
      </c>
      <c r="H135" s="152">
        <f>IF($E$59=3,0,IF($C$60=4,IF($G$53=2,'Input-Output'!$E$12*Calculations!G135,0),0))</f>
        <v>0</v>
      </c>
      <c r="I135" s="21" t="s">
        <v>152</v>
      </c>
      <c r="L135" s="15"/>
      <c r="M135" s="17"/>
      <c r="N135" s="15"/>
      <c r="O135" s="17"/>
    </row>
    <row r="136" spans="3:15" ht="15">
      <c r="C136" s="34"/>
      <c r="D136" s="27" t="s">
        <v>81</v>
      </c>
      <c r="E136" s="20" t="s">
        <v>82</v>
      </c>
      <c r="F136" s="20">
        <v>0.41</v>
      </c>
      <c r="G136" s="20">
        <f aca="true" t="shared" si="3" ref="G136:G214">F136*0.5</f>
        <v>0.205</v>
      </c>
      <c r="H136" s="152">
        <f>IF($E$59=3,0,IF($C$60=4,IF($G$53=2,'Input-Output'!$E$12*Calculations!G136,0),0))</f>
        <v>0</v>
      </c>
      <c r="I136" s="21" t="s">
        <v>152</v>
      </c>
      <c r="L136" s="15"/>
      <c r="M136" s="17"/>
      <c r="N136" s="15"/>
      <c r="O136" s="17"/>
    </row>
    <row r="137" spans="3:15" ht="15">
      <c r="C137" s="34"/>
      <c r="D137" s="27" t="s">
        <v>6</v>
      </c>
      <c r="E137" s="20" t="s">
        <v>9</v>
      </c>
      <c r="F137" s="20">
        <v>0.064</v>
      </c>
      <c r="G137" s="20">
        <f t="shared" si="3"/>
        <v>0.032</v>
      </c>
      <c r="H137" s="152">
        <f>IF($E$59=3,0,IF($C$60=4,IF($G$53=2,'Input-Output'!$E$12*Calculations!G137,0),0))</f>
        <v>0</v>
      </c>
      <c r="I137" s="21" t="s">
        <v>152</v>
      </c>
      <c r="L137" s="15"/>
      <c r="M137" s="17"/>
      <c r="N137" s="15"/>
      <c r="O137" s="17"/>
    </row>
    <row r="138" spans="3:15" ht="15">
      <c r="C138" s="34"/>
      <c r="D138" s="27" t="s">
        <v>83</v>
      </c>
      <c r="E138" s="20" t="s">
        <v>84</v>
      </c>
      <c r="F138" s="20">
        <v>0.081</v>
      </c>
      <c r="G138" s="20">
        <f t="shared" si="3"/>
        <v>0.0405</v>
      </c>
      <c r="H138" s="152">
        <f>IF($E$59=3,0,IF($C$60=4,IF($G$53=2,'Input-Output'!$E$12*Calculations!G138,0),0))</f>
        <v>0</v>
      </c>
      <c r="I138" s="21" t="s">
        <v>152</v>
      </c>
      <c r="L138" s="15"/>
      <c r="M138" s="17"/>
      <c r="N138" s="15"/>
      <c r="O138" s="17"/>
    </row>
    <row r="139" spans="3:15" ht="15">
      <c r="C139" s="34"/>
      <c r="D139" s="27" t="s">
        <v>96</v>
      </c>
      <c r="E139" s="20" t="s">
        <v>97</v>
      </c>
      <c r="F139" s="20">
        <v>0.067</v>
      </c>
      <c r="G139" s="20">
        <f t="shared" si="3"/>
        <v>0.0335</v>
      </c>
      <c r="H139" s="152">
        <f>IF($E$59=3,0,IF($C$60=4,IF($G$53=2,'Input-Output'!$E$12*Calculations!G139,0),0))</f>
        <v>0</v>
      </c>
      <c r="I139" s="21" t="s">
        <v>152</v>
      </c>
      <c r="L139" s="15"/>
      <c r="M139" s="17"/>
      <c r="N139" s="15"/>
      <c r="O139" s="17"/>
    </row>
    <row r="140" spans="3:15" ht="15">
      <c r="C140" s="34"/>
      <c r="D140" s="27" t="s">
        <v>10</v>
      </c>
      <c r="E140" s="20" t="s">
        <v>11</v>
      </c>
      <c r="F140" s="20">
        <v>0.036</v>
      </c>
      <c r="G140" s="20">
        <f t="shared" si="3"/>
        <v>0.018</v>
      </c>
      <c r="H140" s="152">
        <f>IF($E$59=3,0,IF($C$60=4,IF($G$53=2,'Input-Output'!$E$12*Calculations!G140,0),0))</f>
        <v>0</v>
      </c>
      <c r="I140" s="21" t="s">
        <v>152</v>
      </c>
      <c r="L140" s="15"/>
      <c r="M140" s="17"/>
      <c r="N140" s="15"/>
      <c r="O140" s="17"/>
    </row>
    <row r="141" spans="3:15" ht="15">
      <c r="C141" s="34"/>
      <c r="D141" s="27" t="s">
        <v>98</v>
      </c>
      <c r="E141" s="20" t="s">
        <v>99</v>
      </c>
      <c r="F141" s="20">
        <v>0.0019</v>
      </c>
      <c r="G141" s="20">
        <f t="shared" si="3"/>
        <v>0.00095</v>
      </c>
      <c r="H141" s="152">
        <f>IF($E$59=3,0,IF($C$60=4,IF($G$53=2,'Input-Output'!$E$12*Calculations!G141,0),0))</f>
        <v>0</v>
      </c>
      <c r="I141" s="21" t="s">
        <v>152</v>
      </c>
      <c r="L141" s="15"/>
      <c r="M141" s="17"/>
      <c r="N141" s="15"/>
      <c r="O141" s="17"/>
    </row>
    <row r="142" spans="3:15" ht="15">
      <c r="C142" s="34"/>
      <c r="D142" s="27" t="s">
        <v>12</v>
      </c>
      <c r="E142" s="20" t="s">
        <v>13</v>
      </c>
      <c r="F142" s="20">
        <v>0.0026</v>
      </c>
      <c r="G142" s="20">
        <f t="shared" si="3"/>
        <v>0.0013</v>
      </c>
      <c r="H142" s="152">
        <f>IF($E$59=3,0,IF($C$60=4,IF($G$53=2,'Input-Output'!$E$12*Calculations!G142,0),0))</f>
        <v>0</v>
      </c>
      <c r="I142" s="21" t="s">
        <v>152</v>
      </c>
      <c r="L142" s="15"/>
      <c r="M142" s="17"/>
      <c r="N142" s="15"/>
      <c r="O142" s="17"/>
    </row>
    <row r="143" spans="3:15" ht="15">
      <c r="C143" s="34"/>
      <c r="D143" s="27" t="s">
        <v>85</v>
      </c>
      <c r="E143" s="20" t="s">
        <v>86</v>
      </c>
      <c r="F143" s="20">
        <v>0.0039</v>
      </c>
      <c r="G143" s="20">
        <f t="shared" si="3"/>
        <v>0.00195</v>
      </c>
      <c r="H143" s="152">
        <f>IF($E$59=3,0,IF($C$60=4,IF($G$53=2,'Input-Output'!$E$12*Calculations!G143,0),0))</f>
        <v>0</v>
      </c>
      <c r="I143" s="21" t="s">
        <v>152</v>
      </c>
      <c r="L143" s="15"/>
      <c r="M143" s="17"/>
      <c r="N143" s="15"/>
      <c r="O143" s="17"/>
    </row>
    <row r="144" spans="3:15" ht="15">
      <c r="C144" s="34"/>
      <c r="D144" s="27" t="s">
        <v>14</v>
      </c>
      <c r="E144" s="20" t="s">
        <v>15</v>
      </c>
      <c r="F144" s="20">
        <v>0.006</v>
      </c>
      <c r="G144" s="20">
        <f t="shared" si="3"/>
        <v>0.003</v>
      </c>
      <c r="H144" s="152">
        <f>IF($E$59=3,0,IF($C$60=4,IF($G$53=2,'Input-Output'!$E$12*Calculations!G144,0),0))</f>
        <v>0</v>
      </c>
      <c r="I144" s="21" t="s">
        <v>152</v>
      </c>
      <c r="L144" s="15"/>
      <c r="M144" s="17"/>
      <c r="N144" s="15"/>
      <c r="O144" s="17"/>
    </row>
    <row r="145" spans="3:15" ht="15">
      <c r="C145" s="34"/>
      <c r="D145" s="27" t="s">
        <v>89</v>
      </c>
      <c r="E145" s="20" t="s">
        <v>90</v>
      </c>
      <c r="F145" s="20">
        <v>0.0016</v>
      </c>
      <c r="G145" s="20">
        <f t="shared" si="3"/>
        <v>0.0008</v>
      </c>
      <c r="H145" s="152">
        <f>IF($E$59=3,0,IF($C$60=4,IF($G$53=2,'Input-Output'!$E$12*Calculations!G145,0),0))</f>
        <v>0</v>
      </c>
      <c r="I145" s="21" t="s">
        <v>152</v>
      </c>
      <c r="L145" s="15"/>
      <c r="M145" s="17"/>
      <c r="N145" s="15"/>
      <c r="O145" s="17"/>
    </row>
    <row r="146" spans="3:15" ht="15">
      <c r="C146" s="34"/>
      <c r="D146" s="27" t="s">
        <v>100</v>
      </c>
      <c r="E146" s="20" t="s">
        <v>101</v>
      </c>
      <c r="F146" s="20">
        <v>0.0015</v>
      </c>
      <c r="G146" s="20">
        <f t="shared" si="3"/>
        <v>0.00075</v>
      </c>
      <c r="H146" s="152">
        <f>IF($E$59=3,0,IF($C$60=4,IF($G$53=2,'Input-Output'!$E$12*Calculations!G146,0),0))</f>
        <v>0</v>
      </c>
      <c r="I146" s="21" t="s">
        <v>152</v>
      </c>
      <c r="L146" s="15"/>
      <c r="M146" s="17"/>
      <c r="N146" s="15"/>
      <c r="O146" s="17"/>
    </row>
    <row r="147" spans="3:15" ht="15">
      <c r="C147" s="35"/>
      <c r="D147" s="36" t="s">
        <v>91</v>
      </c>
      <c r="E147" s="37" t="s">
        <v>92</v>
      </c>
      <c r="F147" s="37">
        <v>0.0074</v>
      </c>
      <c r="G147" s="37">
        <f t="shared" si="3"/>
        <v>0.0037</v>
      </c>
      <c r="H147" s="153">
        <f>IF($E$59=3,0,IF($C$60=4,IF($G$53=2,'Input-Output'!$E$12*Calculations!G147,0),0))</f>
        <v>0</v>
      </c>
      <c r="I147" s="127" t="s">
        <v>152</v>
      </c>
      <c r="L147" s="15"/>
      <c r="M147" s="17"/>
      <c r="N147" s="15"/>
      <c r="O147" s="17"/>
    </row>
    <row r="148" spans="3:15" ht="15">
      <c r="C148" s="334" t="s">
        <v>171</v>
      </c>
      <c r="D148" s="27" t="s">
        <v>0</v>
      </c>
      <c r="E148" s="20" t="s">
        <v>22</v>
      </c>
      <c r="F148" s="20" t="s">
        <v>22</v>
      </c>
      <c r="G148" s="26">
        <f>1.05*G94/G74</f>
        <v>0.09800000000000002</v>
      </c>
      <c r="H148" s="152">
        <f>IF($E$59=3,0,IF($C$60=4,IF($G$53=3,'Input-Output'!$E$12*Calculations!G148,0),0))</f>
        <v>0</v>
      </c>
      <c r="I148" s="21" t="s">
        <v>151</v>
      </c>
      <c r="L148" s="15"/>
      <c r="M148" s="17"/>
      <c r="N148" s="15"/>
      <c r="O148" s="17"/>
    </row>
    <row r="149" spans="3:15" ht="18">
      <c r="C149" s="335"/>
      <c r="D149" s="27" t="s">
        <v>144</v>
      </c>
      <c r="E149" s="20" t="s">
        <v>22</v>
      </c>
      <c r="F149" s="20" t="s">
        <v>22</v>
      </c>
      <c r="G149" s="26">
        <v>0.2495</v>
      </c>
      <c r="H149" s="152">
        <f>IF($E$59=3,0,IF($C$60=4,IF($G$53=3,'Input-Output'!$E$12*Calculations!G149,0),0))</f>
        <v>0</v>
      </c>
      <c r="I149" s="21" t="s">
        <v>151</v>
      </c>
      <c r="L149" s="15"/>
      <c r="M149" s="17"/>
      <c r="N149" s="15"/>
      <c r="O149" s="17"/>
    </row>
    <row r="150" spans="3:15" ht="15">
      <c r="C150" s="335"/>
      <c r="D150" s="27" t="s">
        <v>3</v>
      </c>
      <c r="E150" s="20" t="s">
        <v>22</v>
      </c>
      <c r="F150" s="20" t="s">
        <v>22</v>
      </c>
      <c r="G150" s="26">
        <f>1.25*G95/G75</f>
        <v>0.11805555555555557</v>
      </c>
      <c r="H150" s="152">
        <f>IF($E$59=3,0,IF($C$60=4,IF($G$53=3,'Input-Output'!$E$12*Calculations!G150,0),0))</f>
        <v>0</v>
      </c>
      <c r="I150" s="21" t="s">
        <v>151</v>
      </c>
      <c r="L150" s="15"/>
      <c r="M150" s="17"/>
      <c r="N150" s="15"/>
      <c r="O150" s="17"/>
    </row>
    <row r="151" spans="3:15" ht="15">
      <c r="C151" s="122"/>
      <c r="D151" s="27" t="s">
        <v>153</v>
      </c>
      <c r="E151" s="20" t="s">
        <v>154</v>
      </c>
      <c r="F151" s="20" t="s">
        <v>22</v>
      </c>
      <c r="G151" s="26">
        <f>0.32*G96/G76</f>
        <v>0.7085714285714285</v>
      </c>
      <c r="H151" s="152">
        <f>IF($E$59=3,0,IF($C$60=4,IF($G$53=3,'Input-Output'!$E$12*Calculations!G151,0),0))</f>
        <v>0</v>
      </c>
      <c r="I151" s="21" t="s">
        <v>151</v>
      </c>
      <c r="L151" s="15"/>
      <c r="M151" s="17"/>
      <c r="N151" s="15"/>
      <c r="O151" s="17"/>
    </row>
    <row r="152" spans="3:15" ht="15">
      <c r="C152" s="34"/>
      <c r="D152" s="27" t="s">
        <v>4</v>
      </c>
      <c r="E152" s="20" t="s">
        <v>7</v>
      </c>
      <c r="F152" s="20" t="s">
        <v>22</v>
      </c>
      <c r="G152" s="146">
        <f>0.031*G97/G78</f>
        <v>0.003464705882352941</v>
      </c>
      <c r="H152" s="152">
        <f>IF($E$59=3,0,IF($C$60=4,IF($G$53=3,'Input-Output'!$E$12*Calculations!G152,0),0))</f>
        <v>0</v>
      </c>
      <c r="I152" s="21" t="s">
        <v>151</v>
      </c>
      <c r="L152" s="15"/>
      <c r="M152" s="17"/>
      <c r="N152" s="15"/>
      <c r="O152" s="17"/>
    </row>
    <row r="153" spans="3:15" ht="15">
      <c r="C153" s="34"/>
      <c r="D153" s="27" t="s">
        <v>5</v>
      </c>
      <c r="E153" s="20" t="s">
        <v>8</v>
      </c>
      <c r="F153" s="20" t="s">
        <v>22</v>
      </c>
      <c r="G153" s="146">
        <f>0.0295*G98/G79</f>
        <v>0.003857692307692307</v>
      </c>
      <c r="H153" s="152">
        <f>IF($E$59=3,0,IF($C$60=4,IF($G$53=3,'Input-Output'!$E$12*Calculations!G153,0),0))</f>
        <v>0</v>
      </c>
      <c r="I153" s="21" t="s">
        <v>151</v>
      </c>
      <c r="L153" s="15"/>
      <c r="M153" s="17"/>
      <c r="N153" s="15"/>
      <c r="O153" s="17"/>
    </row>
    <row r="154" spans="3:15" ht="15">
      <c r="C154" s="34"/>
      <c r="D154" s="27" t="s">
        <v>6</v>
      </c>
      <c r="E154" s="20" t="s">
        <v>9</v>
      </c>
      <c r="F154" s="20" t="s">
        <v>22</v>
      </c>
      <c r="G154" s="26">
        <f>0.032*G101/G84</f>
        <v>0.005257142857142857</v>
      </c>
      <c r="H154" s="152">
        <f>IF($E$59=3,0,IF($C$60=4,IF($G$53=3,'Input-Output'!$E$12*Calculations!G154,0),0))</f>
        <v>0</v>
      </c>
      <c r="I154" s="21" t="s">
        <v>151</v>
      </c>
      <c r="L154" s="15"/>
      <c r="M154" s="17"/>
      <c r="N154" s="15"/>
      <c r="O154" s="17"/>
    </row>
    <row r="155" spans="3:15" ht="15.75" customHeight="1">
      <c r="C155" s="34"/>
      <c r="D155" s="27" t="s">
        <v>10</v>
      </c>
      <c r="E155" s="20" t="s">
        <v>11</v>
      </c>
      <c r="F155" s="20" t="s">
        <v>22</v>
      </c>
      <c r="G155" s="146">
        <f>0.018*G102/G86</f>
        <v>0.0010615384615384614</v>
      </c>
      <c r="H155" s="152">
        <f>IF($E$59=3,0,IF($C$60=4,IF($G$53=3,'Input-Output'!$E$12*Calculations!G155,0),0))</f>
        <v>0</v>
      </c>
      <c r="I155" s="21" t="s">
        <v>151</v>
      </c>
      <c r="L155" s="15"/>
      <c r="M155" s="17"/>
      <c r="N155" s="15"/>
      <c r="O155" s="17"/>
    </row>
    <row r="156" spans="3:15" ht="15">
      <c r="C156" s="35"/>
      <c r="D156" s="36" t="s">
        <v>14</v>
      </c>
      <c r="E156" s="37" t="s">
        <v>15</v>
      </c>
      <c r="F156" s="37" t="s">
        <v>22</v>
      </c>
      <c r="G156" s="147">
        <f>0.003*G103/G90</f>
        <v>0.004411764705882353</v>
      </c>
      <c r="H156" s="153">
        <f>IF($E$59=3,0,IF($C$60=4,IF($G$53=3,'Input-Output'!$E$12*Calculations!G156,0),0))</f>
        <v>0</v>
      </c>
      <c r="I156" s="127" t="s">
        <v>151</v>
      </c>
      <c r="L156" s="15"/>
      <c r="M156" s="17"/>
      <c r="N156" s="15"/>
      <c r="O156" s="17"/>
    </row>
    <row r="157" spans="3:15" ht="15">
      <c r="C157" s="334" t="s">
        <v>103</v>
      </c>
      <c r="D157" s="27" t="s">
        <v>0</v>
      </c>
      <c r="E157" s="20" t="s">
        <v>22</v>
      </c>
      <c r="F157" s="20">
        <v>0.3</v>
      </c>
      <c r="G157" s="20">
        <f t="shared" si="3"/>
        <v>0.15</v>
      </c>
      <c r="H157" s="152">
        <f>IF($E$59=3,0,IF($C$60=4,IF($G$53=4,'Input-Output'!$E$12*Calculations!G157,0),0))</f>
        <v>0</v>
      </c>
      <c r="I157" s="21" t="s">
        <v>151</v>
      </c>
      <c r="L157" s="15"/>
      <c r="M157" s="17"/>
      <c r="N157" s="15"/>
      <c r="O157" s="17"/>
    </row>
    <row r="158" spans="3:15" ht="18">
      <c r="C158" s="335"/>
      <c r="D158" s="27" t="s">
        <v>144</v>
      </c>
      <c r="E158" s="20" t="s">
        <v>22</v>
      </c>
      <c r="F158" s="20">
        <v>0.499</v>
      </c>
      <c r="G158" s="20">
        <f t="shared" si="3"/>
        <v>0.2495</v>
      </c>
      <c r="H158" s="152">
        <f>IF($E$59=3,0,IF($C$60=4,IF($G$53=4,'Input-Output'!$E$12*Calculations!G158,0),0))</f>
        <v>0</v>
      </c>
      <c r="I158" s="21" t="s">
        <v>151</v>
      </c>
      <c r="L158" s="15"/>
      <c r="M158" s="17"/>
      <c r="N158" s="15"/>
      <c r="O158" s="17"/>
    </row>
    <row r="159" spans="3:15" ht="15">
      <c r="C159" s="335"/>
      <c r="D159" s="27" t="s">
        <v>3</v>
      </c>
      <c r="E159" s="20" t="s">
        <v>22</v>
      </c>
      <c r="F159" s="20">
        <v>0.36</v>
      </c>
      <c r="G159" s="20">
        <f t="shared" si="3"/>
        <v>0.18</v>
      </c>
      <c r="H159" s="152">
        <f>IF($E$59=3,0,IF($C$60=4,IF($G$53=4,'Input-Output'!$E$12*Calculations!G159,0),0))</f>
        <v>0</v>
      </c>
      <c r="I159" s="21" t="s">
        <v>151</v>
      </c>
      <c r="L159" s="15"/>
      <c r="M159" s="17"/>
      <c r="N159" s="15"/>
      <c r="O159" s="17"/>
    </row>
    <row r="160" spans="3:15" ht="15">
      <c r="C160" s="122"/>
      <c r="D160" s="27" t="s">
        <v>153</v>
      </c>
      <c r="E160" s="20" t="s">
        <v>154</v>
      </c>
      <c r="F160" s="20">
        <v>0.0076</v>
      </c>
      <c r="G160" s="20">
        <f t="shared" si="3"/>
        <v>0.0038</v>
      </c>
      <c r="H160" s="152">
        <f>IF($E$59=3,0,IF($C$60=4,IF($G$53=4,'Input-Output'!$E$12*Calculations!G160,0),0))</f>
        <v>0</v>
      </c>
      <c r="I160" s="21" t="s">
        <v>151</v>
      </c>
      <c r="L160" s="15"/>
      <c r="M160" s="17"/>
      <c r="N160" s="15"/>
      <c r="O160" s="17"/>
    </row>
    <row r="161" spans="3:15" ht="15">
      <c r="C161" s="34"/>
      <c r="D161" s="27" t="s">
        <v>4</v>
      </c>
      <c r="E161" s="20" t="s">
        <v>7</v>
      </c>
      <c r="F161" s="20">
        <v>0.061</v>
      </c>
      <c r="G161" s="20">
        <f t="shared" si="3"/>
        <v>0.0305</v>
      </c>
      <c r="H161" s="152">
        <f>IF($E$59=3,0,IF($C$60=4,IF($G$53=4,'Input-Output'!$E$12*Calculations!G161,0),0))</f>
        <v>0</v>
      </c>
      <c r="I161" s="21" t="s">
        <v>151</v>
      </c>
      <c r="L161" s="15"/>
      <c r="M161" s="17"/>
      <c r="N161" s="15"/>
      <c r="O161" s="17"/>
    </row>
    <row r="162" spans="3:15" ht="15">
      <c r="C162" s="34"/>
      <c r="D162" s="27" t="s">
        <v>5</v>
      </c>
      <c r="E162" s="20" t="s">
        <v>8</v>
      </c>
      <c r="F162" s="20">
        <v>0.048</v>
      </c>
      <c r="G162" s="20">
        <f t="shared" si="3"/>
        <v>0.024</v>
      </c>
      <c r="H162" s="152">
        <f>IF($E$59=3,0,IF($C$60=4,IF($G$53=4,'Input-Output'!$E$12*Calculations!G162,0),0))</f>
        <v>0</v>
      </c>
      <c r="I162" s="21" t="s">
        <v>151</v>
      </c>
      <c r="L162" s="15"/>
      <c r="M162" s="17"/>
      <c r="N162" s="15"/>
      <c r="O162" s="17"/>
    </row>
    <row r="163" spans="3:15" ht="15">
      <c r="C163" s="34"/>
      <c r="D163" s="27" t="s">
        <v>6</v>
      </c>
      <c r="E163" s="20" t="s">
        <v>9</v>
      </c>
      <c r="F163" s="20">
        <v>0.038</v>
      </c>
      <c r="G163" s="20">
        <f t="shared" si="3"/>
        <v>0.019</v>
      </c>
      <c r="H163" s="152">
        <f>IF($E$59=3,0,IF($C$60=4,IF($G$53=4,'Input-Output'!$E$12*Calculations!G163,0),0))</f>
        <v>0</v>
      </c>
      <c r="I163" s="21" t="s">
        <v>151</v>
      </c>
      <c r="L163" s="15"/>
      <c r="M163" s="17"/>
      <c r="N163" s="15"/>
      <c r="O163" s="17"/>
    </row>
    <row r="164" spans="3:15" ht="15.75" customHeight="1">
      <c r="C164" s="34"/>
      <c r="D164" s="27" t="s">
        <v>10</v>
      </c>
      <c r="E164" s="20" t="s">
        <v>11</v>
      </c>
      <c r="F164" s="20">
        <v>0.0049</v>
      </c>
      <c r="G164" s="20">
        <f t="shared" si="3"/>
        <v>0.00245</v>
      </c>
      <c r="H164" s="152">
        <f>IF($E$59=3,0,IF($C$60=4,IF($G$53=4,'Input-Output'!$E$12*Calculations!G164,0),0))</f>
        <v>0</v>
      </c>
      <c r="I164" s="21" t="s">
        <v>151</v>
      </c>
      <c r="L164" s="15"/>
      <c r="M164" s="17"/>
      <c r="N164" s="15"/>
      <c r="O164" s="17"/>
    </row>
    <row r="165" spans="3:15" ht="15">
      <c r="C165" s="35"/>
      <c r="D165" s="36" t="s">
        <v>14</v>
      </c>
      <c r="E165" s="37" t="s">
        <v>15</v>
      </c>
      <c r="F165" s="37">
        <v>0.0055</v>
      </c>
      <c r="G165" s="37">
        <f t="shared" si="3"/>
        <v>0.00275</v>
      </c>
      <c r="H165" s="152">
        <f>IF($E$59=3,0,IF($C$60=4,IF($G$53=4,'Input-Output'!$E$12*Calculations!G165,0),0))</f>
        <v>0</v>
      </c>
      <c r="I165" s="127" t="s">
        <v>151</v>
      </c>
      <c r="L165" s="15"/>
      <c r="M165" s="17"/>
      <c r="N165" s="15"/>
      <c r="O165" s="17"/>
    </row>
    <row r="166" spans="3:15" ht="15">
      <c r="C166" s="337" t="s">
        <v>102</v>
      </c>
      <c r="D166" s="27" t="s">
        <v>0</v>
      </c>
      <c r="E166" s="20" t="s">
        <v>22</v>
      </c>
      <c r="F166" s="20">
        <v>0.038</v>
      </c>
      <c r="G166" s="20">
        <f t="shared" si="3"/>
        <v>0.019</v>
      </c>
      <c r="H166" s="151">
        <f>IF($E$59=3,0,IF($C$60=4,IF($G$53=3,0,'Input-Output'!$E$12*Calculations!G166),0))</f>
        <v>0</v>
      </c>
      <c r="I166" s="21" t="s">
        <v>151</v>
      </c>
      <c r="L166" s="15"/>
      <c r="M166" s="17"/>
      <c r="N166" s="15"/>
      <c r="O166" s="17"/>
    </row>
    <row r="167" spans="3:15" ht="15">
      <c r="C167" s="337"/>
      <c r="D167" s="27" t="s">
        <v>3</v>
      </c>
      <c r="E167" s="20" t="s">
        <v>22</v>
      </c>
      <c r="F167" s="20">
        <v>0.044</v>
      </c>
      <c r="G167" s="20">
        <f t="shared" si="3"/>
        <v>0.022</v>
      </c>
      <c r="H167" s="152">
        <f>IF($E$59=3,0,IF($C$60=4,IF($G$53=3,0,'Input-Output'!$E$12*Calculations!G167),0))</f>
        <v>0</v>
      </c>
      <c r="I167" s="21" t="s">
        <v>151</v>
      </c>
      <c r="L167" s="15"/>
      <c r="M167" s="17"/>
      <c r="N167" s="15"/>
      <c r="O167" s="17"/>
    </row>
    <row r="168" spans="3:15" ht="15">
      <c r="C168" s="116"/>
      <c r="D168" s="27" t="s">
        <v>153</v>
      </c>
      <c r="E168" s="20" t="s">
        <v>154</v>
      </c>
      <c r="F168" s="20">
        <v>0.01</v>
      </c>
      <c r="G168" s="20">
        <f t="shared" si="3"/>
        <v>0.005</v>
      </c>
      <c r="H168" s="152">
        <f>IF($E$59=3,0,IF($C$60=4,IF($G$53=3,0,'Input-Output'!$E$12*Calculations!G168),0))</f>
        <v>0</v>
      </c>
      <c r="I168" s="21" t="s">
        <v>151</v>
      </c>
      <c r="L168" s="15"/>
      <c r="M168" s="17"/>
      <c r="N168" s="15"/>
      <c r="O168" s="17"/>
    </row>
    <row r="169" spans="3:15" ht="15.75" customHeight="1">
      <c r="C169" s="34"/>
      <c r="D169" s="27" t="s">
        <v>4</v>
      </c>
      <c r="E169" s="20" t="s">
        <v>7</v>
      </c>
      <c r="F169" s="20">
        <v>0.0034</v>
      </c>
      <c r="G169" s="20">
        <f t="shared" si="3"/>
        <v>0.0017</v>
      </c>
      <c r="H169" s="152">
        <f>IF($E$59=3,0,IF($C$60=4,IF($G$53=3,0,'Input-Output'!$E$12*Calculations!G169),0))</f>
        <v>0</v>
      </c>
      <c r="I169" s="21" t="s">
        <v>151</v>
      </c>
      <c r="L169" s="15"/>
      <c r="M169" s="17"/>
      <c r="N169" s="15"/>
      <c r="O169" s="17"/>
    </row>
    <row r="170" spans="3:15" ht="15">
      <c r="C170" s="34"/>
      <c r="D170" s="27" t="s">
        <v>5</v>
      </c>
      <c r="E170" s="20" t="s">
        <v>8</v>
      </c>
      <c r="F170" s="20">
        <v>0.0041</v>
      </c>
      <c r="G170" s="20">
        <f t="shared" si="3"/>
        <v>0.00205</v>
      </c>
      <c r="H170" s="152">
        <f>IF($E$59=3,0,IF($C$60=4,IF($G$53=3,0,'Input-Output'!$E$12*Calculations!G170),0))</f>
        <v>0</v>
      </c>
      <c r="I170" s="21" t="s">
        <v>151</v>
      </c>
      <c r="L170" s="15"/>
      <c r="M170" s="17"/>
      <c r="N170" s="15"/>
      <c r="O170" s="18"/>
    </row>
    <row r="171" spans="3:15" ht="15">
      <c r="C171" s="34"/>
      <c r="D171" s="27" t="s">
        <v>6</v>
      </c>
      <c r="E171" s="20" t="s">
        <v>9</v>
      </c>
      <c r="F171" s="20">
        <v>0.0015</v>
      </c>
      <c r="G171" s="20">
        <f t="shared" si="3"/>
        <v>0.00075</v>
      </c>
      <c r="H171" s="152">
        <f>IF($E$59=3,0,IF($C$60=4,IF($G$53=3,0,'Input-Output'!$E$12*Calculations!G171),0))</f>
        <v>0</v>
      </c>
      <c r="I171" s="21" t="s">
        <v>151</v>
      </c>
      <c r="L171" s="15"/>
      <c r="M171" s="17"/>
      <c r="N171" s="15"/>
      <c r="O171" s="18"/>
    </row>
    <row r="172" spans="3:15" ht="15">
      <c r="C172" s="34"/>
      <c r="D172" s="27" t="s">
        <v>10</v>
      </c>
      <c r="E172" s="20" t="s">
        <v>11</v>
      </c>
      <c r="F172" s="20">
        <v>0.0057</v>
      </c>
      <c r="G172" s="20">
        <f t="shared" si="3"/>
        <v>0.00285</v>
      </c>
      <c r="H172" s="152">
        <f>IF($E$59=3,0,IF($C$60=4,IF($G$53=3,0,'Input-Output'!$E$12*Calculations!G172),0))</f>
        <v>0</v>
      </c>
      <c r="I172" s="21" t="s">
        <v>151</v>
      </c>
      <c r="L172" s="15"/>
      <c r="M172" s="17"/>
      <c r="N172" s="15"/>
      <c r="O172" s="18"/>
    </row>
    <row r="173" spans="3:15" ht="15">
      <c r="C173" s="35"/>
      <c r="D173" s="36" t="s">
        <v>14</v>
      </c>
      <c r="E173" s="37" t="s">
        <v>15</v>
      </c>
      <c r="F173" s="37">
        <v>0.01</v>
      </c>
      <c r="G173" s="37">
        <f t="shared" si="3"/>
        <v>0.005</v>
      </c>
      <c r="H173" s="153">
        <f>IF($E$59=3,0,IF($C$60=4,IF($G$53=3,0,'Input-Output'!$E$12*Calculations!G173),0))</f>
        <v>0</v>
      </c>
      <c r="I173" s="127" t="s">
        <v>151</v>
      </c>
      <c r="L173" s="15"/>
      <c r="M173" s="17"/>
      <c r="N173" s="15"/>
      <c r="O173" s="18"/>
    </row>
    <row r="174" spans="3:15" ht="15.75" customHeight="1">
      <c r="C174" s="334" t="s">
        <v>174</v>
      </c>
      <c r="D174" s="27" t="s">
        <v>219</v>
      </c>
      <c r="E174" s="20" t="s">
        <v>72</v>
      </c>
      <c r="F174" s="20">
        <v>0.17</v>
      </c>
      <c r="G174" s="148">
        <f aca="true" t="shared" si="4" ref="G174:G180">F174*0.5</f>
        <v>0.085</v>
      </c>
      <c r="H174" s="151">
        <f>IF($E$59=3,0,IF($C$60=5,IF($G$53=2,'Input-Output'!$E$12*Calculations!G174,0),0))</f>
        <v>0</v>
      </c>
      <c r="I174" s="21" t="s">
        <v>152</v>
      </c>
      <c r="L174" s="15"/>
      <c r="M174" s="17"/>
      <c r="N174" s="15"/>
      <c r="O174" s="18"/>
    </row>
    <row r="175" spans="3:15" ht="18">
      <c r="C175" s="335"/>
      <c r="D175" s="27" t="s">
        <v>146</v>
      </c>
      <c r="E175" s="20" t="s">
        <v>22</v>
      </c>
      <c r="F175" s="20">
        <v>2</v>
      </c>
      <c r="G175" s="20">
        <f t="shared" si="4"/>
        <v>1</v>
      </c>
      <c r="H175" s="152">
        <f>IF($E$59=3,0,IF($C$60=5,IF($G$53=2,'Input-Output'!$E$12*Calculations!G175,0),0))</f>
        <v>0</v>
      </c>
      <c r="I175" s="21" t="s">
        <v>152</v>
      </c>
      <c r="L175" s="15"/>
      <c r="M175" s="17"/>
      <c r="N175" s="15"/>
      <c r="O175" s="18"/>
    </row>
    <row r="176" spans="3:15" ht="15">
      <c r="C176" s="122"/>
      <c r="D176" s="27" t="s">
        <v>153</v>
      </c>
      <c r="E176" s="20" t="s">
        <v>154</v>
      </c>
      <c r="F176" s="20">
        <v>3.2</v>
      </c>
      <c r="G176" s="20">
        <f t="shared" si="4"/>
        <v>1.6</v>
      </c>
      <c r="H176" s="152">
        <f>IF($E$59=3,0,IF($C$60=5,IF($G$53=2,'Input-Output'!$E$12*Calculations!G176,0),0))</f>
        <v>0</v>
      </c>
      <c r="I176" s="21" t="s">
        <v>152</v>
      </c>
      <c r="L176" s="15"/>
      <c r="M176" s="17"/>
      <c r="N176" s="15"/>
      <c r="O176" s="18"/>
    </row>
    <row r="177" spans="3:15" ht="15">
      <c r="C177" s="122"/>
      <c r="D177" s="27" t="s">
        <v>155</v>
      </c>
      <c r="E177" s="20" t="s">
        <v>156</v>
      </c>
      <c r="F177" s="20">
        <v>100</v>
      </c>
      <c r="G177" s="20">
        <f t="shared" si="4"/>
        <v>50</v>
      </c>
      <c r="H177" s="152">
        <f>IF($E$59=3,0,IF($C$60=5,IF($G$53=2,'Input-Output'!$E$12*Calculations!G177,0),0))</f>
        <v>0</v>
      </c>
      <c r="I177" s="21" t="s">
        <v>152</v>
      </c>
      <c r="L177" s="15"/>
      <c r="M177" s="17"/>
      <c r="N177" s="15"/>
      <c r="O177" s="18"/>
    </row>
    <row r="178" spans="3:15" ht="15">
      <c r="C178" s="124"/>
      <c r="D178" s="27" t="s">
        <v>0</v>
      </c>
      <c r="E178" s="20" t="s">
        <v>22</v>
      </c>
      <c r="F178" s="20">
        <v>0.83</v>
      </c>
      <c r="G178" s="20">
        <f t="shared" si="4"/>
        <v>0.415</v>
      </c>
      <c r="H178" s="152">
        <f>IF($E$59=3,0,IF($C$60=5,IF($G$53=2,'Input-Output'!$E$12*Calculations!G178,0),0))</f>
        <v>0</v>
      </c>
      <c r="I178" s="21" t="s">
        <v>152</v>
      </c>
      <c r="L178" s="15"/>
      <c r="M178" s="17"/>
      <c r="N178" s="15"/>
      <c r="O178" s="18"/>
    </row>
    <row r="179" spans="3:15" ht="15">
      <c r="C179" s="34"/>
      <c r="D179" s="27" t="s">
        <v>3</v>
      </c>
      <c r="E179" s="20" t="s">
        <v>22</v>
      </c>
      <c r="F179" s="20">
        <v>1.1</v>
      </c>
      <c r="G179" s="20">
        <f t="shared" si="4"/>
        <v>0.55</v>
      </c>
      <c r="H179" s="152">
        <f>IF($E$59=3,0,IF($C$60=5,IF($G$53=2,'Input-Output'!$E$12*Calculations!G179,0),0))</f>
        <v>0</v>
      </c>
      <c r="I179" s="21" t="s">
        <v>151</v>
      </c>
      <c r="L179" s="15"/>
      <c r="M179" s="17"/>
      <c r="N179" s="15"/>
      <c r="O179" s="18"/>
    </row>
    <row r="180" spans="3:15" ht="15">
      <c r="C180" s="39"/>
      <c r="D180" s="36" t="s">
        <v>6</v>
      </c>
      <c r="E180" s="37" t="s">
        <v>9</v>
      </c>
      <c r="F180" s="37">
        <v>0.045</v>
      </c>
      <c r="G180" s="37">
        <f t="shared" si="4"/>
        <v>0.0225</v>
      </c>
      <c r="H180" s="153">
        <f>IF($E$59=3,0,IF($C$60=5,IF($G$53=2,'Input-Output'!$E$12*Calculations!G180,0),0))</f>
        <v>0</v>
      </c>
      <c r="I180" s="127" t="s">
        <v>152</v>
      </c>
      <c r="L180" s="15"/>
      <c r="M180" s="17"/>
      <c r="N180" s="15"/>
      <c r="O180" s="18"/>
    </row>
    <row r="181" spans="3:15" ht="15.75" customHeight="1">
      <c r="C181" s="334" t="s">
        <v>176</v>
      </c>
      <c r="D181" s="27" t="s">
        <v>219</v>
      </c>
      <c r="E181" s="20" t="s">
        <v>72</v>
      </c>
      <c r="F181" s="20" t="s">
        <v>22</v>
      </c>
      <c r="G181" s="148">
        <v>0.085</v>
      </c>
      <c r="H181" s="151">
        <f>IF($E$59=3,0,IF($C$60=5,IF($G$53=3,'Input-Output'!$E$12*Calculations!G181,0),0))</f>
        <v>0</v>
      </c>
      <c r="I181" s="21" t="s">
        <v>151</v>
      </c>
      <c r="L181" s="15"/>
      <c r="M181" s="17"/>
      <c r="N181" s="15"/>
      <c r="O181" s="18"/>
    </row>
    <row r="182" spans="3:15" ht="18">
      <c r="C182" s="335"/>
      <c r="D182" s="27" t="s">
        <v>175</v>
      </c>
      <c r="E182" s="20" t="s">
        <v>22</v>
      </c>
      <c r="F182" s="20" t="s">
        <v>22</v>
      </c>
      <c r="G182" s="20">
        <v>1</v>
      </c>
      <c r="H182" s="152">
        <f>IF($E$59=3,0,IF($C$60=5,IF($G$53=3,'Input-Output'!$E$12*Calculations!G182,0),0))</f>
        <v>0</v>
      </c>
      <c r="I182" s="21" t="s">
        <v>151</v>
      </c>
      <c r="L182" s="15"/>
      <c r="M182" s="17"/>
      <c r="N182" s="15"/>
      <c r="O182" s="18"/>
    </row>
    <row r="183" spans="3:15" ht="15">
      <c r="C183" s="122"/>
      <c r="D183" s="27" t="s">
        <v>153</v>
      </c>
      <c r="E183" s="20" t="s">
        <v>154</v>
      </c>
      <c r="F183" s="20" t="s">
        <v>22</v>
      </c>
      <c r="G183" s="156">
        <f>1.6*G96/G76</f>
        <v>3.542857142857143</v>
      </c>
      <c r="H183" s="152">
        <f>IF($E$59=3,0,IF($C$60=5,IF($G$53=3,'Input-Output'!$E$12*Calculations!G183,0),0))</f>
        <v>0</v>
      </c>
      <c r="I183" s="21" t="s">
        <v>151</v>
      </c>
      <c r="L183" s="15"/>
      <c r="M183" s="17"/>
      <c r="N183" s="15"/>
      <c r="O183" s="18"/>
    </row>
    <row r="184" spans="3:15" ht="15">
      <c r="C184" s="122"/>
      <c r="D184" s="27" t="s">
        <v>155</v>
      </c>
      <c r="E184" s="20" t="s">
        <v>156</v>
      </c>
      <c r="F184" s="20" t="s">
        <v>22</v>
      </c>
      <c r="G184" s="20">
        <v>50</v>
      </c>
      <c r="H184" s="152">
        <f>IF($E$59=3,0,IF($C$60=5,IF($G$53=3,'Input-Output'!$E$12*Calculations!G184,0),0))</f>
        <v>0</v>
      </c>
      <c r="I184" s="21" t="s">
        <v>151</v>
      </c>
      <c r="L184" s="15"/>
      <c r="M184" s="17"/>
      <c r="N184" s="15"/>
      <c r="O184" s="18"/>
    </row>
    <row r="185" spans="3:15" ht="15">
      <c r="C185" s="124"/>
      <c r="D185" s="27" t="s">
        <v>0</v>
      </c>
      <c r="E185" s="20" t="s">
        <v>22</v>
      </c>
      <c r="F185" s="20" t="s">
        <v>22</v>
      </c>
      <c r="G185" s="26">
        <f>0.415*G94/G74</f>
        <v>0.038733333333333335</v>
      </c>
      <c r="H185" s="152">
        <f>IF($E$59=3,0,IF($C$60=5,IF($G$53=3,'Input-Output'!$E$12*Calculations!G185,0),0))</f>
        <v>0</v>
      </c>
      <c r="I185" s="21" t="s">
        <v>151</v>
      </c>
      <c r="L185" s="15"/>
      <c r="M185" s="17"/>
      <c r="N185" s="15"/>
      <c r="O185" s="18"/>
    </row>
    <row r="186" spans="3:15" ht="15">
      <c r="C186" s="34"/>
      <c r="D186" s="27" t="s">
        <v>3</v>
      </c>
      <c r="E186" s="20" t="s">
        <v>22</v>
      </c>
      <c r="F186" s="20" t="s">
        <v>22</v>
      </c>
      <c r="G186" s="26">
        <f>0.55*G95/G75</f>
        <v>0.05194444444444445</v>
      </c>
      <c r="H186" s="152">
        <f>IF($E$59=3,0,IF($C$60=5,IF($G$53=3,'Input-Output'!$E$12*Calculations!G186,0),0))</f>
        <v>0</v>
      </c>
      <c r="I186" s="21" t="s">
        <v>151</v>
      </c>
      <c r="L186" s="15"/>
      <c r="M186" s="17"/>
      <c r="N186" s="15"/>
      <c r="O186" s="18"/>
    </row>
    <row r="187" spans="3:15" ht="15">
      <c r="C187" s="39"/>
      <c r="D187" s="36" t="s">
        <v>6</v>
      </c>
      <c r="E187" s="37" t="s">
        <v>9</v>
      </c>
      <c r="F187" s="37" t="s">
        <v>22</v>
      </c>
      <c r="G187" s="147">
        <f>0.0225*G101/G84</f>
        <v>0.003696428571428571</v>
      </c>
      <c r="H187" s="153">
        <f>IF($E$59=3,0,IF($C$60=5,IF($G$53=3,'Input-Output'!$E$12*Calculations!G187,0),0))</f>
        <v>0</v>
      </c>
      <c r="I187" s="127" t="s">
        <v>151</v>
      </c>
      <c r="L187" s="15"/>
      <c r="M187" s="17"/>
      <c r="N187" s="15"/>
      <c r="O187" s="18"/>
    </row>
    <row r="188" spans="3:15" ht="15.75" customHeight="1">
      <c r="C188" s="334" t="s">
        <v>177</v>
      </c>
      <c r="D188" s="27" t="s">
        <v>219</v>
      </c>
      <c r="E188" s="20" t="s">
        <v>72</v>
      </c>
      <c r="F188" s="20" t="s">
        <v>22</v>
      </c>
      <c r="G188" s="148">
        <v>0.085</v>
      </c>
      <c r="H188" s="151">
        <f>IF($E$59=3,0,IF($C$60=5,IF($G$53=4,'Input-Output'!$E$12*Calculations!G188,0),0))</f>
        <v>0</v>
      </c>
      <c r="I188" s="21" t="s">
        <v>151</v>
      </c>
      <c r="L188" s="15"/>
      <c r="M188" s="17"/>
      <c r="N188" s="15"/>
      <c r="O188" s="18"/>
    </row>
    <row r="189" spans="3:15" ht="18">
      <c r="C189" s="335"/>
      <c r="D189" s="27" t="s">
        <v>175</v>
      </c>
      <c r="E189" s="20" t="s">
        <v>22</v>
      </c>
      <c r="F189" s="20" t="s">
        <v>22</v>
      </c>
      <c r="G189" s="20">
        <v>1</v>
      </c>
      <c r="H189" s="152">
        <f>IF($E$59=3,0,IF($C$60=5,IF($G$53=4,'Input-Output'!$E$12*Calculations!G189,0),0))</f>
        <v>0</v>
      </c>
      <c r="I189" s="21" t="s">
        <v>151</v>
      </c>
      <c r="L189" s="15"/>
      <c r="M189" s="17"/>
      <c r="N189" s="15"/>
      <c r="O189" s="18"/>
    </row>
    <row r="190" spans="3:15" ht="15">
      <c r="C190" s="122"/>
      <c r="D190" s="27" t="s">
        <v>153</v>
      </c>
      <c r="E190" s="20" t="s">
        <v>154</v>
      </c>
      <c r="F190" s="20" t="s">
        <v>22</v>
      </c>
      <c r="G190" s="26">
        <f>G160/G129*1.6</f>
        <v>0.019000000000000003</v>
      </c>
      <c r="H190" s="152">
        <f>IF($E$59=3,0,IF($C$60=5,IF($G$53=4,'Input-Output'!$E$12*Calculations!G190,0),0))</f>
        <v>0</v>
      </c>
      <c r="I190" s="21" t="s">
        <v>151</v>
      </c>
      <c r="L190" s="15"/>
      <c r="M190" s="17"/>
      <c r="N190" s="15"/>
      <c r="O190" s="18"/>
    </row>
    <row r="191" spans="3:15" ht="15">
      <c r="C191" s="122"/>
      <c r="D191" s="27" t="s">
        <v>155</v>
      </c>
      <c r="E191" s="20" t="s">
        <v>156</v>
      </c>
      <c r="F191" s="20" t="s">
        <v>22</v>
      </c>
      <c r="G191" s="20">
        <v>50</v>
      </c>
      <c r="H191" s="152">
        <f>IF($E$59=3,0,IF($C$60=5,IF($G$53=4,'Input-Output'!$E$12*Calculations!G191,0),0))</f>
        <v>0</v>
      </c>
      <c r="I191" s="21" t="s">
        <v>151</v>
      </c>
      <c r="L191" s="15"/>
      <c r="M191" s="17"/>
      <c r="N191" s="15"/>
      <c r="O191" s="18"/>
    </row>
    <row r="192" spans="3:15" ht="15">
      <c r="C192" s="124"/>
      <c r="D192" s="27" t="s">
        <v>0</v>
      </c>
      <c r="E192" s="20" t="s">
        <v>22</v>
      </c>
      <c r="F192" s="20" t="s">
        <v>22</v>
      </c>
      <c r="G192" s="26">
        <f>0.415*G157/G127</f>
        <v>0.059285714285714275</v>
      </c>
      <c r="H192" s="152">
        <f>IF($E$59=3,0,IF($C$60=5,IF($G$53=4,'Input-Output'!$E$12*Calculations!G192,0),0))</f>
        <v>0</v>
      </c>
      <c r="I192" s="21" t="s">
        <v>151</v>
      </c>
      <c r="L192" s="15"/>
      <c r="M192" s="17"/>
      <c r="N192" s="15"/>
      <c r="O192" s="18"/>
    </row>
    <row r="193" spans="3:15" ht="15">
      <c r="C193" s="34"/>
      <c r="D193" s="27" t="s">
        <v>3</v>
      </c>
      <c r="E193" s="20" t="s">
        <v>22</v>
      </c>
      <c r="F193" s="20" t="s">
        <v>22</v>
      </c>
      <c r="G193" s="26">
        <f>0.55*G159/G128</f>
        <v>0.0792</v>
      </c>
      <c r="H193" s="152">
        <f>IF($E$59=3,0,IF($C$60=5,IF($G$53=4,'Input-Output'!$E$12*Calculations!G193,0),0))</f>
        <v>0</v>
      </c>
      <c r="I193" s="21" t="s">
        <v>151</v>
      </c>
      <c r="L193" s="15"/>
      <c r="M193" s="17"/>
      <c r="N193" s="15"/>
      <c r="O193" s="18"/>
    </row>
    <row r="194" spans="3:15" ht="15">
      <c r="C194" s="39"/>
      <c r="D194" s="36" t="s">
        <v>6</v>
      </c>
      <c r="E194" s="37" t="s">
        <v>9</v>
      </c>
      <c r="F194" s="37" t="s">
        <v>22</v>
      </c>
      <c r="G194" s="154">
        <f>0.0225*G163/G137</f>
        <v>0.013359375</v>
      </c>
      <c r="H194" s="153">
        <f>IF($E$59=3,0,IF($C$60=5,IF($G$53=4,'Input-Output'!$E$12*Calculations!G194,0),0))</f>
        <v>0</v>
      </c>
      <c r="I194" s="127" t="s">
        <v>151</v>
      </c>
      <c r="L194" s="15"/>
      <c r="M194" s="17"/>
      <c r="N194" s="15"/>
      <c r="O194" s="18"/>
    </row>
    <row r="195" spans="3:15" ht="15">
      <c r="C195" s="337" t="s">
        <v>129</v>
      </c>
      <c r="D195" s="27" t="s">
        <v>0</v>
      </c>
      <c r="E195" s="20" t="s">
        <v>22</v>
      </c>
      <c r="F195" s="20">
        <v>0.055</v>
      </c>
      <c r="G195" s="20">
        <f t="shared" si="3"/>
        <v>0.0275</v>
      </c>
      <c r="H195" s="152">
        <f>IF($E$59=2,0,IF($C$53=2,'Input-Output'!$E$12*Calculations!G195,0))</f>
        <v>0</v>
      </c>
      <c r="I195" s="21" t="s">
        <v>152</v>
      </c>
      <c r="J195" s="18"/>
      <c r="K195" s="17"/>
      <c r="L195" s="17"/>
      <c r="N195" s="15"/>
      <c r="O195" s="17"/>
    </row>
    <row r="196" spans="3:15" ht="15">
      <c r="C196" s="337"/>
      <c r="D196" s="27" t="s">
        <v>3</v>
      </c>
      <c r="E196" s="20" t="s">
        <v>22</v>
      </c>
      <c r="F196" s="20">
        <v>0.047</v>
      </c>
      <c r="G196" s="20">
        <f t="shared" si="3"/>
        <v>0.0235</v>
      </c>
      <c r="H196" s="152">
        <f>IF($E$59=2,0,IF($C$53=2,'Input-Output'!$E$12*Calculations!G196,0))</f>
        <v>0</v>
      </c>
      <c r="I196" s="21" t="s">
        <v>151</v>
      </c>
      <c r="J196" s="18"/>
      <c r="K196" s="17"/>
      <c r="L196" s="17"/>
      <c r="N196" s="15"/>
      <c r="O196" s="18"/>
    </row>
    <row r="197" spans="3:15" ht="15">
      <c r="C197" s="19"/>
      <c r="D197" s="27" t="s">
        <v>5</v>
      </c>
      <c r="E197" s="20" t="s">
        <v>8</v>
      </c>
      <c r="F197" s="20">
        <v>0.025</v>
      </c>
      <c r="G197" s="20">
        <f t="shared" si="3"/>
        <v>0.0125</v>
      </c>
      <c r="H197" s="152">
        <f>IF($E$59=2,0,IF($C$53=2,'Input-Output'!$E$12*Calculations!G197,0))</f>
        <v>0</v>
      </c>
      <c r="I197" s="21" t="s">
        <v>152</v>
      </c>
      <c r="J197" s="18"/>
      <c r="K197" s="17"/>
      <c r="L197" s="17"/>
      <c r="N197" s="15"/>
      <c r="O197" s="18"/>
    </row>
    <row r="198" spans="3:15" ht="15">
      <c r="C198" s="19"/>
      <c r="D198" s="27" t="s">
        <v>6</v>
      </c>
      <c r="E198" s="20" t="s">
        <v>9</v>
      </c>
      <c r="F198" s="20">
        <v>0.0047</v>
      </c>
      <c r="G198" s="20">
        <f t="shared" si="3"/>
        <v>0.00235</v>
      </c>
      <c r="H198" s="152">
        <f>IF($E$59=2,0,IF($C$53=2,'Input-Output'!$E$12*Calculations!G198,0))</f>
        <v>0</v>
      </c>
      <c r="I198" s="21" t="s">
        <v>152</v>
      </c>
      <c r="J198" s="18"/>
      <c r="K198" s="17"/>
      <c r="L198" s="17"/>
      <c r="N198" s="15"/>
      <c r="O198" s="18"/>
    </row>
    <row r="199" spans="3:15" ht="15">
      <c r="C199" s="19"/>
      <c r="D199" s="27" t="s">
        <v>10</v>
      </c>
      <c r="E199" s="20" t="s">
        <v>11</v>
      </c>
      <c r="F199" s="20">
        <v>0.032</v>
      </c>
      <c r="G199" s="20">
        <f t="shared" si="3"/>
        <v>0.016</v>
      </c>
      <c r="H199" s="152">
        <f>IF($E$59=2,0,IF($C$53=2,'Input-Output'!$E$12*Calculations!G199,0))</f>
        <v>0</v>
      </c>
      <c r="I199" s="21" t="s">
        <v>152</v>
      </c>
      <c r="J199" s="18"/>
      <c r="K199" s="17"/>
      <c r="L199" s="17"/>
      <c r="N199" s="15"/>
      <c r="O199" s="18"/>
    </row>
    <row r="200" spans="3:15" ht="15">
      <c r="C200" s="19"/>
      <c r="D200" s="27" t="s">
        <v>12</v>
      </c>
      <c r="E200" s="20" t="s">
        <v>13</v>
      </c>
      <c r="F200" s="20">
        <v>0.0057</v>
      </c>
      <c r="G200" s="20">
        <f t="shared" si="3"/>
        <v>0.00285</v>
      </c>
      <c r="H200" s="152">
        <f>IF($E$59=2,0,IF($C$53=2,'Input-Output'!$E$12*Calculations!G200,0))</f>
        <v>0</v>
      </c>
      <c r="I200" s="21" t="s">
        <v>152</v>
      </c>
      <c r="J200" s="18"/>
      <c r="K200" s="17"/>
      <c r="L200" s="17"/>
      <c r="N200" s="15"/>
      <c r="O200" s="18"/>
    </row>
    <row r="201" spans="3:15" ht="15">
      <c r="C201" s="39"/>
      <c r="D201" s="36" t="s">
        <v>14</v>
      </c>
      <c r="E201" s="37" t="s">
        <v>15</v>
      </c>
      <c r="F201" s="37">
        <v>0.011</v>
      </c>
      <c r="G201" s="37">
        <f t="shared" si="3"/>
        <v>0.0055</v>
      </c>
      <c r="H201" s="152">
        <f>IF($E$59=2,0,IF($C$53=2,'Input-Output'!$E$12*Calculations!G201,0))</f>
        <v>0</v>
      </c>
      <c r="I201" s="127" t="s">
        <v>152</v>
      </c>
      <c r="J201" s="18"/>
      <c r="K201" s="17"/>
      <c r="L201" s="17"/>
      <c r="N201" s="15"/>
      <c r="O201" s="18"/>
    </row>
    <row r="202" spans="3:15" ht="15">
      <c r="C202" s="338" t="s">
        <v>105</v>
      </c>
      <c r="D202" s="27" t="s">
        <v>143</v>
      </c>
      <c r="E202" s="20" t="s">
        <v>22</v>
      </c>
      <c r="F202" s="20">
        <v>0.203</v>
      </c>
      <c r="G202" s="20">
        <f t="shared" si="3"/>
        <v>0.1015</v>
      </c>
      <c r="H202" s="151">
        <f>IF($E$59=2,0,IF($C$53=3,'Input-Output'!$E$12*Calculations!G202,0))</f>
        <v>0</v>
      </c>
      <c r="I202" s="21" t="s">
        <v>152</v>
      </c>
      <c r="L202" s="15"/>
      <c r="M202" s="17"/>
      <c r="N202" s="15"/>
      <c r="O202" s="18"/>
    </row>
    <row r="203" spans="3:15" ht="15">
      <c r="C203" s="337"/>
      <c r="D203" s="27" t="s">
        <v>0</v>
      </c>
      <c r="E203" s="20" t="s">
        <v>22</v>
      </c>
      <c r="F203" s="20">
        <v>0.21</v>
      </c>
      <c r="G203" s="20">
        <f t="shared" si="3"/>
        <v>0.105</v>
      </c>
      <c r="H203" s="152">
        <f>IF($E$59=2,0,IF($C$53=3,'Input-Output'!$E$12*Calculations!G203,0))</f>
        <v>0</v>
      </c>
      <c r="I203" s="21" t="s">
        <v>152</v>
      </c>
      <c r="L203" s="15"/>
      <c r="M203" s="17"/>
      <c r="N203" s="15"/>
      <c r="O203" s="18"/>
    </row>
    <row r="204" spans="3:15" ht="15">
      <c r="C204" s="34"/>
      <c r="D204" s="27" t="s">
        <v>3</v>
      </c>
      <c r="E204" s="20" t="s">
        <v>22</v>
      </c>
      <c r="F204" s="20">
        <v>0.25</v>
      </c>
      <c r="G204" s="20">
        <f t="shared" si="3"/>
        <v>0.125</v>
      </c>
      <c r="H204" s="152">
        <f>IF($E$59=2,0,IF($C$53=3,'Input-Output'!$E$12*Calculations!G204,0))</f>
        <v>0</v>
      </c>
      <c r="I204" s="21" t="s">
        <v>151</v>
      </c>
      <c r="L204" s="15"/>
      <c r="M204" s="17"/>
      <c r="N204" s="15"/>
      <c r="O204" s="18"/>
    </row>
    <row r="205" spans="3:15" ht="15">
      <c r="C205" s="34"/>
      <c r="D205" s="27" t="s">
        <v>4</v>
      </c>
      <c r="E205" s="20" t="s">
        <v>7</v>
      </c>
      <c r="F205" s="20">
        <v>0.0042</v>
      </c>
      <c r="G205" s="20">
        <f t="shared" si="3"/>
        <v>0.0021</v>
      </c>
      <c r="H205" s="152">
        <f>IF($E$59=2,0,IF($C$53=3,'Input-Output'!$E$12*Calculations!G205,0))</f>
        <v>0</v>
      </c>
      <c r="I205" s="21" t="s">
        <v>152</v>
      </c>
      <c r="L205" s="15"/>
      <c r="M205" s="17"/>
      <c r="N205" s="15"/>
      <c r="O205" s="18"/>
    </row>
    <row r="206" spans="3:15" ht="15">
      <c r="C206" s="19"/>
      <c r="D206" s="27" t="s">
        <v>5</v>
      </c>
      <c r="E206" s="20" t="s">
        <v>8</v>
      </c>
      <c r="F206" s="20">
        <v>0.0065</v>
      </c>
      <c r="G206" s="20">
        <f t="shared" si="3"/>
        <v>0.00325</v>
      </c>
      <c r="H206" s="152">
        <f>IF($E$59=2,0,IF($C$53=3,'Input-Output'!$E$12*Calculations!G206,0))</f>
        <v>0</v>
      </c>
      <c r="I206" s="21" t="s">
        <v>152</v>
      </c>
      <c r="L206" s="15"/>
      <c r="M206" s="17"/>
      <c r="N206" s="15"/>
      <c r="O206" s="18"/>
    </row>
    <row r="207" spans="3:15" ht="15">
      <c r="C207" s="19"/>
      <c r="D207" s="27" t="s">
        <v>77</v>
      </c>
      <c r="E207" s="20" t="s">
        <v>78</v>
      </c>
      <c r="F207" s="20">
        <v>0.098</v>
      </c>
      <c r="G207" s="20">
        <f t="shared" si="3"/>
        <v>0.049</v>
      </c>
      <c r="H207" s="152">
        <f>IF($E$59=2,0,IF($C$53=3,'Input-Output'!$E$12*Calculations!G207,0))</f>
        <v>0</v>
      </c>
      <c r="I207" s="21" t="s">
        <v>152</v>
      </c>
      <c r="L207" s="15"/>
      <c r="M207" s="17"/>
      <c r="N207" s="15"/>
      <c r="O207" s="18"/>
    </row>
    <row r="208" spans="3:15" ht="15">
      <c r="C208" s="19"/>
      <c r="D208" s="27" t="s">
        <v>81</v>
      </c>
      <c r="E208" s="20" t="s">
        <v>82</v>
      </c>
      <c r="F208" s="20">
        <v>0.038</v>
      </c>
      <c r="G208" s="20">
        <f t="shared" si="3"/>
        <v>0.019</v>
      </c>
      <c r="H208" s="152">
        <f>IF($E$59=2,0,IF($C$53=3,'Input-Output'!$E$12*Calculations!G208,0))</f>
        <v>0</v>
      </c>
      <c r="I208" s="21" t="s">
        <v>152</v>
      </c>
      <c r="L208" s="15"/>
      <c r="M208" s="17"/>
      <c r="N208" s="15"/>
      <c r="O208" s="18"/>
    </row>
    <row r="209" spans="3:15" ht="15">
      <c r="C209" s="19"/>
      <c r="D209" s="27" t="s">
        <v>6</v>
      </c>
      <c r="E209" s="20" t="s">
        <v>9</v>
      </c>
      <c r="F209" s="20">
        <v>0.0019</v>
      </c>
      <c r="G209" s="20">
        <f t="shared" si="3"/>
        <v>0.00095</v>
      </c>
      <c r="H209" s="152">
        <f>IF($E$59=2,0,IF($C$53=3,'Input-Output'!$E$12*Calculations!G209,0))</f>
        <v>0</v>
      </c>
      <c r="I209" s="21" t="s">
        <v>152</v>
      </c>
      <c r="L209" s="15"/>
      <c r="M209" s="17"/>
      <c r="N209" s="15"/>
      <c r="O209" s="18"/>
    </row>
    <row r="210" spans="3:15" ht="15">
      <c r="C210" s="19"/>
      <c r="D210" s="27" t="s">
        <v>83</v>
      </c>
      <c r="E210" s="20" t="s">
        <v>84</v>
      </c>
      <c r="F210" s="20">
        <v>0.011</v>
      </c>
      <c r="G210" s="20">
        <f t="shared" si="3"/>
        <v>0.0055</v>
      </c>
      <c r="H210" s="152">
        <f>IF($E$59=2,0,IF($C$53=3,'Input-Output'!$E$12*Calculations!G210,0))</f>
        <v>0</v>
      </c>
      <c r="I210" s="21" t="s">
        <v>152</v>
      </c>
      <c r="L210" s="15"/>
      <c r="M210" s="17"/>
      <c r="N210" s="15"/>
      <c r="O210" s="18"/>
    </row>
    <row r="211" spans="3:15" ht="15">
      <c r="C211" s="19"/>
      <c r="D211" s="27" t="s">
        <v>10</v>
      </c>
      <c r="E211" s="20" t="s">
        <v>11</v>
      </c>
      <c r="F211" s="20">
        <v>0.14</v>
      </c>
      <c r="G211" s="20">
        <f t="shared" si="3"/>
        <v>0.07</v>
      </c>
      <c r="H211" s="152">
        <f>IF($E$59=2,0,IF($C$53=3,'Input-Output'!$E$12*Calculations!G211,0))</f>
        <v>0</v>
      </c>
      <c r="I211" s="21" t="s">
        <v>152</v>
      </c>
      <c r="L211" s="15"/>
      <c r="M211" s="17"/>
      <c r="N211" s="15"/>
      <c r="O211" s="18"/>
    </row>
    <row r="212" spans="3:15" ht="15">
      <c r="C212" s="19"/>
      <c r="D212" s="27" t="s">
        <v>98</v>
      </c>
      <c r="E212" s="20" t="s">
        <v>99</v>
      </c>
      <c r="F212" s="20">
        <v>0.00087</v>
      </c>
      <c r="G212" s="20">
        <f t="shared" si="3"/>
        <v>0.000435</v>
      </c>
      <c r="H212" s="152">
        <f>IF($E$59=2,0,IF($C$53=3,'Input-Output'!$E$12*Calculations!G212,0))</f>
        <v>0</v>
      </c>
      <c r="I212" s="21" t="s">
        <v>152</v>
      </c>
      <c r="L212" s="15"/>
      <c r="M212" s="17"/>
      <c r="N212" s="15"/>
      <c r="O212" s="18"/>
    </row>
    <row r="213" spans="3:15" ht="15">
      <c r="C213" s="19"/>
      <c r="D213" s="27" t="s">
        <v>12</v>
      </c>
      <c r="E213" s="20" t="s">
        <v>13</v>
      </c>
      <c r="F213" s="20">
        <v>0.00071</v>
      </c>
      <c r="G213" s="20">
        <f t="shared" si="3"/>
        <v>0.000355</v>
      </c>
      <c r="H213" s="152">
        <f>IF($E$59=2,0,IF($C$53=3,'Input-Output'!$E$12*Calculations!G213,0))</f>
        <v>0</v>
      </c>
      <c r="I213" s="21" t="s">
        <v>152</v>
      </c>
      <c r="L213" s="15"/>
      <c r="M213" s="17"/>
      <c r="N213" s="15"/>
      <c r="O213" s="18"/>
    </row>
    <row r="214" spans="3:15" ht="15.75" thickBot="1">
      <c r="C214" s="22"/>
      <c r="D214" s="40" t="s">
        <v>14</v>
      </c>
      <c r="E214" s="23" t="s">
        <v>15</v>
      </c>
      <c r="F214" s="23">
        <v>0.0014</v>
      </c>
      <c r="G214" s="23">
        <f t="shared" si="3"/>
        <v>0.0007</v>
      </c>
      <c r="H214" s="159">
        <f>IF($E$59=2,0,IF($C$53=3,'Input-Output'!$E$12*Calculations!G214,0))</f>
        <v>0</v>
      </c>
      <c r="I214" s="24" t="s">
        <v>152</v>
      </c>
      <c r="L214" s="15"/>
      <c r="M214" s="17"/>
      <c r="N214" s="15"/>
      <c r="O214" s="18"/>
    </row>
    <row r="215" spans="3:9" ht="33" customHeight="1">
      <c r="C215" s="339" t="s">
        <v>128</v>
      </c>
      <c r="D215" s="339"/>
      <c r="E215" s="339"/>
      <c r="F215" s="339"/>
      <c r="G215" s="339"/>
      <c r="H215" s="339"/>
      <c r="I215" s="339"/>
    </row>
    <row r="216" spans="3:9" ht="15">
      <c r="C216" s="336" t="s">
        <v>145</v>
      </c>
      <c r="D216" s="336"/>
      <c r="E216" s="336"/>
      <c r="F216" s="336"/>
      <c r="G216" s="336"/>
      <c r="H216" s="336"/>
      <c r="I216" s="336"/>
    </row>
    <row r="217" spans="3:9" ht="47.25" customHeight="1">
      <c r="C217" s="336" t="s">
        <v>147</v>
      </c>
      <c r="D217" s="336"/>
      <c r="E217" s="336"/>
      <c r="F217" s="336"/>
      <c r="G217" s="336"/>
      <c r="H217" s="336"/>
      <c r="I217" s="336"/>
    </row>
    <row r="218" spans="3:9" ht="33" customHeight="1">
      <c r="C218" s="336" t="s">
        <v>170</v>
      </c>
      <c r="D218" s="336"/>
      <c r="E218" s="336"/>
      <c r="F218" s="336"/>
      <c r="G218" s="336"/>
      <c r="H218" s="336"/>
      <c r="I218" s="336"/>
    </row>
    <row r="219" spans="3:9" ht="33" customHeight="1">
      <c r="C219" s="336" t="s">
        <v>172</v>
      </c>
      <c r="D219" s="336"/>
      <c r="E219" s="336"/>
      <c r="F219" s="336"/>
      <c r="G219" s="336"/>
      <c r="H219" s="336"/>
      <c r="I219" s="336"/>
    </row>
    <row r="220" spans="3:9" ht="47.25" customHeight="1">
      <c r="C220" s="336" t="s">
        <v>178</v>
      </c>
      <c r="D220" s="336"/>
      <c r="E220" s="336"/>
      <c r="F220" s="336"/>
      <c r="G220" s="336"/>
      <c r="H220" s="336"/>
      <c r="I220" s="336"/>
    </row>
    <row r="221" spans="3:9" ht="48.75" customHeight="1">
      <c r="C221" s="336" t="s">
        <v>179</v>
      </c>
      <c r="D221" s="336"/>
      <c r="E221" s="336"/>
      <c r="F221" s="336"/>
      <c r="G221" s="336"/>
      <c r="H221" s="336"/>
      <c r="I221" s="336"/>
    </row>
    <row r="222" spans="3:7" ht="15">
      <c r="C222" s="18"/>
      <c r="D222" s="18"/>
      <c r="E222" s="17"/>
      <c r="F222" s="17"/>
      <c r="G222" s="42"/>
    </row>
    <row r="223" spans="3:7" ht="15">
      <c r="C223" s="43" t="s">
        <v>58</v>
      </c>
      <c r="D223" s="18"/>
      <c r="E223" s="17"/>
      <c r="F223" s="17"/>
      <c r="G223" s="42"/>
    </row>
    <row r="224" spans="3:7" ht="18">
      <c r="C224" s="18" t="s">
        <v>166</v>
      </c>
      <c r="D224" s="18"/>
      <c r="E224" s="17"/>
      <c r="F224" s="17"/>
      <c r="G224" s="42"/>
    </row>
    <row r="225" spans="3:7" ht="18">
      <c r="C225" s="44" t="s">
        <v>59</v>
      </c>
      <c r="D225" s="18" t="s">
        <v>165</v>
      </c>
      <c r="E225" s="17"/>
      <c r="F225" s="17"/>
      <c r="G225" s="42"/>
    </row>
    <row r="226" spans="3:7" ht="18">
      <c r="C226" s="44" t="s">
        <v>37</v>
      </c>
      <c r="D226" s="149" t="s">
        <v>167</v>
      </c>
      <c r="E226" s="17"/>
      <c r="F226" s="17"/>
      <c r="G226" s="42"/>
    </row>
    <row r="227" spans="3:7" ht="15">
      <c r="C227" s="44" t="s">
        <v>37</v>
      </c>
      <c r="D227" s="150">
        <f>10000*(0.75+0.025+0.0275)</f>
        <v>8025</v>
      </c>
      <c r="E227" s="17"/>
      <c r="F227" s="17"/>
      <c r="G227" s="42"/>
    </row>
    <row r="228" spans="3:7" ht="15.75" thickBot="1">
      <c r="C228" s="18"/>
      <c r="D228" s="18"/>
      <c r="E228" s="17"/>
      <c r="F228" s="17"/>
      <c r="G228" s="42"/>
    </row>
    <row r="229" spans="3:10" ht="15.75" thickBot="1">
      <c r="C229" s="45" t="s">
        <v>159</v>
      </c>
      <c r="D229" s="46"/>
      <c r="E229" s="46"/>
      <c r="F229" s="46"/>
      <c r="G229" s="46"/>
      <c r="H229" s="46"/>
      <c r="I229" s="46"/>
      <c r="J229" s="47"/>
    </row>
    <row r="230" spans="3:10" ht="26.25" customHeight="1">
      <c r="C230" s="342" t="s">
        <v>23</v>
      </c>
      <c r="D230" s="344" t="s">
        <v>24</v>
      </c>
      <c r="E230" s="344" t="s">
        <v>25</v>
      </c>
      <c r="F230" s="346" t="s">
        <v>44</v>
      </c>
      <c r="G230" s="347"/>
      <c r="H230" s="348"/>
      <c r="I230" s="349" t="s">
        <v>54</v>
      </c>
      <c r="J230" s="340" t="s">
        <v>48</v>
      </c>
    </row>
    <row r="231" spans="3:10" ht="28.5" customHeight="1">
      <c r="C231" s="343"/>
      <c r="D231" s="345"/>
      <c r="E231" s="345"/>
      <c r="F231" s="48" t="s">
        <v>45</v>
      </c>
      <c r="G231" s="48" t="s">
        <v>46</v>
      </c>
      <c r="H231" s="49" t="s">
        <v>47</v>
      </c>
      <c r="I231" s="345"/>
      <c r="J231" s="341"/>
    </row>
    <row r="232" spans="3:10" ht="15">
      <c r="C232" s="50">
        <f>'Input-Output'!D25</f>
        <v>0</v>
      </c>
      <c r="D232" s="51">
        <f>'Input-Output'!E25</f>
        <v>0</v>
      </c>
      <c r="E232" s="51">
        <f>'Input-Output'!F25</f>
        <v>0</v>
      </c>
      <c r="F232" s="51">
        <f>'Input-Output'!G25</f>
        <v>0</v>
      </c>
      <c r="G232" s="51">
        <f>'Input-Output'!H25</f>
        <v>0</v>
      </c>
      <c r="H232" s="52">
        <f>'Input-Output'!I25</f>
        <v>0</v>
      </c>
      <c r="I232" s="51">
        <v>20</v>
      </c>
      <c r="J232" s="53">
        <f aca="true" t="shared" si="5" ref="J232:J239">D232*E232/2118.88*3600*F232*G232*H232*I232/1000000</f>
        <v>0</v>
      </c>
    </row>
    <row r="233" spans="3:10" ht="15">
      <c r="C233" s="50">
        <f>'Input-Output'!D26</f>
        <v>0</v>
      </c>
      <c r="D233" s="51">
        <f>'Input-Output'!E26</f>
        <v>0</v>
      </c>
      <c r="E233" s="51">
        <f>'Input-Output'!F26</f>
        <v>0</v>
      </c>
      <c r="F233" s="51">
        <f>'Input-Output'!G26</f>
        <v>0</v>
      </c>
      <c r="G233" s="51">
        <f>'Input-Output'!H26</f>
        <v>0</v>
      </c>
      <c r="H233" s="52">
        <f>'Input-Output'!I26</f>
        <v>0</v>
      </c>
      <c r="I233" s="51">
        <v>20</v>
      </c>
      <c r="J233" s="53">
        <f t="shared" si="5"/>
        <v>0</v>
      </c>
    </row>
    <row r="234" spans="3:10" ht="15">
      <c r="C234" s="50">
        <f>'Input-Output'!D27</f>
        <v>0</v>
      </c>
      <c r="D234" s="51">
        <f>'Input-Output'!E27</f>
        <v>0</v>
      </c>
      <c r="E234" s="51">
        <f>'Input-Output'!F27</f>
        <v>0</v>
      </c>
      <c r="F234" s="51">
        <f>'Input-Output'!G27</f>
        <v>0</v>
      </c>
      <c r="G234" s="51">
        <f>'Input-Output'!H27</f>
        <v>0</v>
      </c>
      <c r="H234" s="52">
        <f>'Input-Output'!I27</f>
        <v>0</v>
      </c>
      <c r="I234" s="51">
        <v>20</v>
      </c>
      <c r="J234" s="53">
        <f t="shared" si="5"/>
        <v>0</v>
      </c>
    </row>
    <row r="235" spans="3:10" ht="15">
      <c r="C235" s="50">
        <f>'Input-Output'!D28</f>
        <v>0</v>
      </c>
      <c r="D235" s="51">
        <f>'Input-Output'!E28</f>
        <v>0</v>
      </c>
      <c r="E235" s="51">
        <f>'Input-Output'!F28</f>
        <v>0</v>
      </c>
      <c r="F235" s="51">
        <f>'Input-Output'!G28</f>
        <v>0</v>
      </c>
      <c r="G235" s="51">
        <f>'Input-Output'!H28</f>
        <v>0</v>
      </c>
      <c r="H235" s="52">
        <f>'Input-Output'!I28</f>
        <v>0</v>
      </c>
      <c r="I235" s="51">
        <v>20</v>
      </c>
      <c r="J235" s="53">
        <f t="shared" si="5"/>
        <v>0</v>
      </c>
    </row>
    <row r="236" spans="3:10" ht="15">
      <c r="C236" s="50">
        <f>'Input-Output'!D29</f>
        <v>0</v>
      </c>
      <c r="D236" s="51">
        <f>'Input-Output'!E29</f>
        <v>0</v>
      </c>
      <c r="E236" s="51">
        <f>'Input-Output'!F29</f>
        <v>0</v>
      </c>
      <c r="F236" s="51">
        <f>'Input-Output'!G29</f>
        <v>0</v>
      </c>
      <c r="G236" s="51">
        <f>'Input-Output'!H29</f>
        <v>0</v>
      </c>
      <c r="H236" s="52">
        <f>'Input-Output'!I29</f>
        <v>0</v>
      </c>
      <c r="I236" s="51">
        <v>20</v>
      </c>
      <c r="J236" s="53">
        <f t="shared" si="5"/>
        <v>0</v>
      </c>
    </row>
    <row r="237" spans="3:10" ht="15">
      <c r="C237" s="50">
        <f>'Input-Output'!D30</f>
        <v>0</v>
      </c>
      <c r="D237" s="51">
        <f>'Input-Output'!E30</f>
        <v>0</v>
      </c>
      <c r="E237" s="51">
        <f>'Input-Output'!F30</f>
        <v>0</v>
      </c>
      <c r="F237" s="51">
        <f>'Input-Output'!G30</f>
        <v>0</v>
      </c>
      <c r="G237" s="51">
        <f>'Input-Output'!H30</f>
        <v>0</v>
      </c>
      <c r="H237" s="52">
        <f>'Input-Output'!I30</f>
        <v>0</v>
      </c>
      <c r="I237" s="51">
        <v>20</v>
      </c>
      <c r="J237" s="53">
        <f t="shared" si="5"/>
        <v>0</v>
      </c>
    </row>
    <row r="238" spans="3:10" ht="15">
      <c r="C238" s="50">
        <f>'Input-Output'!D31</f>
        <v>0</v>
      </c>
      <c r="D238" s="51">
        <f>'Input-Output'!E31</f>
        <v>0</v>
      </c>
      <c r="E238" s="51">
        <f>'Input-Output'!F31</f>
        <v>0</v>
      </c>
      <c r="F238" s="51">
        <f>'Input-Output'!G31</f>
        <v>0</v>
      </c>
      <c r="G238" s="51">
        <f>'Input-Output'!H31</f>
        <v>0</v>
      </c>
      <c r="H238" s="52">
        <f>'Input-Output'!I31</f>
        <v>0</v>
      </c>
      <c r="I238" s="51">
        <v>20</v>
      </c>
      <c r="J238" s="53">
        <f t="shared" si="5"/>
        <v>0</v>
      </c>
    </row>
    <row r="239" spans="3:10" ht="15.75" thickBot="1">
      <c r="C239" s="54">
        <f>'Input-Output'!D32</f>
        <v>0</v>
      </c>
      <c r="D239" s="55">
        <f>'Input-Output'!E32</f>
        <v>0</v>
      </c>
      <c r="E239" s="55">
        <f>'Input-Output'!F32</f>
        <v>0</v>
      </c>
      <c r="F239" s="55">
        <f>'Input-Output'!G32</f>
        <v>0</v>
      </c>
      <c r="G239" s="55">
        <f>'Input-Output'!H32</f>
        <v>0</v>
      </c>
      <c r="H239" s="56">
        <f>'Input-Output'!I32</f>
        <v>0</v>
      </c>
      <c r="I239" s="55">
        <v>20</v>
      </c>
      <c r="J239" s="57">
        <f t="shared" si="5"/>
        <v>0</v>
      </c>
    </row>
    <row r="240" spans="3:10" ht="15.75" thickBot="1">
      <c r="C240" s="58" t="s">
        <v>27</v>
      </c>
      <c r="D240" s="59"/>
      <c r="E240" s="60"/>
      <c r="F240" s="59"/>
      <c r="G240" s="59"/>
      <c r="H240" s="60"/>
      <c r="I240" s="40"/>
      <c r="J240" s="41">
        <f>SUM(J232:J239)</f>
        <v>0</v>
      </c>
    </row>
    <row r="242" ht="15">
      <c r="C242" s="32" t="s">
        <v>49</v>
      </c>
    </row>
    <row r="243" spans="3:4" ht="18">
      <c r="C243" s="28" t="s">
        <v>50</v>
      </c>
      <c r="D243" s="15" t="s">
        <v>55</v>
      </c>
    </row>
    <row r="244" spans="3:12" ht="18">
      <c r="C244" s="28" t="s">
        <v>37</v>
      </c>
      <c r="D244" s="61">
        <f>D232</f>
        <v>0</v>
      </c>
      <c r="E244" s="62">
        <f>E233</f>
        <v>0</v>
      </c>
      <c r="F244" s="63" t="s">
        <v>56</v>
      </c>
      <c r="G244" s="63" t="s">
        <v>51</v>
      </c>
      <c r="H244" s="64">
        <f>F232</f>
        <v>0</v>
      </c>
      <c r="I244" s="65">
        <f>G232</f>
        <v>0</v>
      </c>
      <c r="J244" s="66">
        <f>H232</f>
        <v>0</v>
      </c>
      <c r="K244" s="67">
        <f>I232</f>
        <v>20</v>
      </c>
      <c r="L244" s="18" t="s">
        <v>57</v>
      </c>
    </row>
    <row r="245" spans="3:4" ht="15">
      <c r="C245" s="28" t="s">
        <v>37</v>
      </c>
      <c r="D245" s="68">
        <f>D232*E232/2118.88*3600*F232*G232*H232*I232/1000000</f>
        <v>0</v>
      </c>
    </row>
    <row r="248" ht="15.75"/>
  </sheetData>
  <sheetProtection sheet="1"/>
  <mergeCells count="32">
    <mergeCell ref="E8:H8"/>
    <mergeCell ref="D8:D9"/>
    <mergeCell ref="C8:C9"/>
    <mergeCell ref="C5:G5"/>
    <mergeCell ref="C6:G6"/>
    <mergeCell ref="C73:C74"/>
    <mergeCell ref="C93:C95"/>
    <mergeCell ref="C46:H46"/>
    <mergeCell ref="J230:J231"/>
    <mergeCell ref="C230:C231"/>
    <mergeCell ref="D230:D231"/>
    <mergeCell ref="E230:E231"/>
    <mergeCell ref="C166:C167"/>
    <mergeCell ref="F230:H230"/>
    <mergeCell ref="I230:I231"/>
    <mergeCell ref="C157:C159"/>
    <mergeCell ref="C220:I220"/>
    <mergeCell ref="C221:I221"/>
    <mergeCell ref="C215:I215"/>
    <mergeCell ref="C219:I219"/>
    <mergeCell ref="C188:C189"/>
    <mergeCell ref="C216:I216"/>
    <mergeCell ref="C217:I217"/>
    <mergeCell ref="C104:C106"/>
    <mergeCell ref="C218:I218"/>
    <mergeCell ref="C148:C150"/>
    <mergeCell ref="C174:C175"/>
    <mergeCell ref="C113:C114"/>
    <mergeCell ref="C125:C127"/>
    <mergeCell ref="C202:C203"/>
    <mergeCell ref="C195:C196"/>
    <mergeCell ref="C181:C182"/>
  </mergeCells>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tabColor theme="4" tint="-0.4999699890613556"/>
  </sheetPr>
  <dimension ref="A1:D38"/>
  <sheetViews>
    <sheetView zoomScalePageLayoutView="0" workbookViewId="0" topLeftCell="A1">
      <selection activeCell="A1" sqref="A1"/>
    </sheetView>
  </sheetViews>
  <sheetFormatPr defaultColWidth="9.140625" defaultRowHeight="15"/>
  <cols>
    <col min="1" max="1" width="9.7109375" style="207" customWidth="1"/>
    <col min="2" max="2" width="18.140625" style="207" customWidth="1"/>
    <col min="3" max="3" width="88.7109375" style="13" customWidth="1"/>
    <col min="4" max="4" width="101.421875" style="13" customWidth="1"/>
    <col min="5" max="16384" width="9.140625" style="13" customWidth="1"/>
  </cols>
  <sheetData>
    <row r="1" spans="1:3" ht="48" customHeight="1">
      <c r="A1" s="239"/>
      <c r="B1" s="239"/>
      <c r="C1" s="114"/>
    </row>
    <row r="2" spans="1:3" ht="15">
      <c r="A2" s="208"/>
      <c r="B2" s="208"/>
      <c r="C2" s="115" t="s">
        <v>130</v>
      </c>
    </row>
    <row r="3" spans="1:3" ht="19.5" customHeight="1">
      <c r="A3" s="208"/>
      <c r="B3" s="208"/>
      <c r="C3" s="289" t="str">
        <f>Instructions!C4</f>
        <v>Version 1.3, Last Updated: June 14, 2013 AK &amp; ZI</v>
      </c>
    </row>
    <row r="4" spans="1:2" ht="15.75" thickBot="1">
      <c r="A4" s="209"/>
      <c r="B4" s="209"/>
    </row>
    <row r="5" spans="1:4" ht="36" customHeight="1" thickBot="1">
      <c r="A5" s="209"/>
      <c r="B5" s="209"/>
      <c r="C5" s="201" t="s">
        <v>208</v>
      </c>
      <c r="D5" s="113"/>
    </row>
    <row r="6" spans="1:2" ht="15.75" thickBot="1">
      <c r="A6" s="209"/>
      <c r="B6" s="209"/>
    </row>
    <row r="7" spans="1:3" ht="30.75" customHeight="1">
      <c r="A7" s="209"/>
      <c r="B7" s="209"/>
      <c r="C7" s="280" t="s">
        <v>141</v>
      </c>
    </row>
    <row r="8" spans="1:3" ht="15.75">
      <c r="A8" s="209"/>
      <c r="B8" s="209"/>
      <c r="C8" s="281" t="s">
        <v>142</v>
      </c>
    </row>
    <row r="9" ht="31.5">
      <c r="C9" s="282" t="s">
        <v>131</v>
      </c>
    </row>
    <row r="10" ht="15.75">
      <c r="C10" s="283" t="s">
        <v>132</v>
      </c>
    </row>
    <row r="11" ht="31.5">
      <c r="C11" s="282" t="s">
        <v>135</v>
      </c>
    </row>
    <row r="12" ht="15">
      <c r="C12" s="281" t="s">
        <v>136</v>
      </c>
    </row>
    <row r="13" ht="15">
      <c r="C13" s="282" t="s">
        <v>133</v>
      </c>
    </row>
    <row r="14" ht="15">
      <c r="C14" s="281" t="s">
        <v>137</v>
      </c>
    </row>
    <row r="15" ht="15">
      <c r="C15" s="282" t="s">
        <v>134</v>
      </c>
    </row>
    <row r="16" ht="15">
      <c r="C16" s="281" t="s">
        <v>138</v>
      </c>
    </row>
    <row r="17" ht="15">
      <c r="C17" s="284"/>
    </row>
    <row r="18" ht="30.75">
      <c r="C18" s="285" t="s">
        <v>139</v>
      </c>
    </row>
    <row r="19" ht="30.75">
      <c r="C19" s="286" t="s">
        <v>140</v>
      </c>
    </row>
    <row r="20" ht="15" thickBot="1">
      <c r="C20" s="287"/>
    </row>
    <row r="22" ht="21" thickBot="1">
      <c r="C22" s="266" t="s">
        <v>239</v>
      </c>
    </row>
    <row r="23" ht="30">
      <c r="C23" s="267" t="s">
        <v>230</v>
      </c>
    </row>
    <row r="24" ht="43.5">
      <c r="C24" s="268" t="s">
        <v>231</v>
      </c>
    </row>
    <row r="25" ht="43.5">
      <c r="C25" s="268" t="s">
        <v>232</v>
      </c>
    </row>
    <row r="26" ht="30">
      <c r="C26" s="268" t="s">
        <v>233</v>
      </c>
    </row>
    <row r="27" ht="15.75" thickBot="1">
      <c r="C27" s="269"/>
    </row>
    <row r="28" spans="1:3" s="296" customFormat="1" ht="33.75">
      <c r="A28" s="295"/>
      <c r="B28" s="295"/>
      <c r="C28" s="250" t="s">
        <v>234</v>
      </c>
    </row>
    <row r="29" ht="41.25" customHeight="1" thickBot="1">
      <c r="C29" s="297" t="s">
        <v>248</v>
      </c>
    </row>
    <row r="30" ht="81" thickBot="1">
      <c r="C30" s="231" t="s">
        <v>214</v>
      </c>
    </row>
    <row r="31" ht="14.25">
      <c r="C31" s="178"/>
    </row>
    <row r="32" ht="15">
      <c r="C32" s="178"/>
    </row>
    <row r="33" ht="15">
      <c r="C33" s="178"/>
    </row>
    <row r="34" ht="15">
      <c r="C34" s="178"/>
    </row>
    <row r="35" ht="15">
      <c r="C35" s="178"/>
    </row>
    <row r="36" ht="14.25">
      <c r="C36" s="178"/>
    </row>
    <row r="37" ht="14.25">
      <c r="C37" s="178"/>
    </row>
    <row r="38" ht="14.25">
      <c r="C38" s="178"/>
    </row>
  </sheetData>
  <sheetProtection sheet="1"/>
  <hyperlinks>
    <hyperlink ref="C10" r:id="rId1" display="http://www.ene.gov.on.ca/envision/gp/3614e03.pdf"/>
    <hyperlink ref="C12" r:id="rId2" display="http://www.arclin.com/products/ourProducts.html"/>
    <hyperlink ref="C14" r:id="rId3" display="http://www.ucp.ru/en/customers/products/himprir/fenolsmola/"/>
    <hyperlink ref="C16" r:id="rId4" display="http://www.eximcorp.com/v2/1024x768/homepage.htm"/>
    <hyperlink ref="C19" r:id="rId5" display="http://www.arb.ca.gov/app/emsinv/emseic_query.php?F_YR=2008&amp;F_DIV=-4&amp;F_SEASON=A&amp;SP=2009&amp;SPN=2009_Almanac&amp;F_AREA=CA&amp;F_EICSUM=450"/>
    <hyperlink ref="C8" r:id="rId6" display="http://www.epa.gov/ttn/chief/ap42/ch10/final/c10s05.pdf"/>
    <hyperlink ref="C28" r:id="rId7" display="1 For details refer to the Environmental Reporting and Disclosure Bylaw available at the ChemTRAC website."/>
  </hyperlinks>
  <printOptions/>
  <pageMargins left="0.7" right="0.7" top="0.75" bottom="0.75" header="0.3" footer="0.3"/>
  <pageSetup horizontalDpi="600" verticalDpi="600" orientation="portrait"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dc:creator>
  <cp:keywords/>
  <dc:description/>
  <cp:lastModifiedBy>bmohamme</cp:lastModifiedBy>
  <cp:lastPrinted>2009-10-13T18:45:18Z</cp:lastPrinted>
  <dcterms:created xsi:type="dcterms:W3CDTF">2009-06-04T21:52:15Z</dcterms:created>
  <dcterms:modified xsi:type="dcterms:W3CDTF">2014-03-20T21:23:04Z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