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rup.sharepoint.com/teams/prj-29744500/Data and Documents Library/3 Design/Phase 4 - Tools_Final Central Report/7_Emission Reduction Calculator/"/>
    </mc:Choice>
  </mc:AlternateContent>
  <xr:revisionPtr revIDLastSave="7591" documentId="11_32D1945921BB44B0FE4C0B8DBCC40DAFD070A46B" xr6:coauthVersionLast="47" xr6:coauthVersionMax="47" xr10:uidLastSave="{DC688475-18E3-4C9A-B2CB-4E6E0AAA03C0}"/>
  <workbookProtection lockStructure="1"/>
  <bookViews>
    <workbookView xWindow="-120" yWindow="-120" windowWidth="29040" windowHeight="15720" tabRatio="799" activeTab="1" xr2:uid="{3C10013B-E882-45FC-BF67-C5B75967D292}"/>
  </bookViews>
  <sheets>
    <sheet name="Cover" sheetId="8" r:id="rId1"/>
    <sheet name="GHG Emission Calculator" sheetId="2" r:id="rId2"/>
    <sheet name="Backend &gt;" sheetId="3" state="hidden" r:id="rId3"/>
    <sheet name="Tool Calc Sheet" sheetId="5" state="hidden" r:id="rId4"/>
    <sheet name="Existing Building EUI" sheetId="4" state="hidden" r:id="rId5"/>
    <sheet name="Retrofit Data" sheetId="11" state="hidden" r:id="rId6"/>
    <sheet name="Retrofit Data - DES" sheetId="13" state="hidden" r:id="rId7"/>
    <sheet name="Drop Down Database" sheetId="12" state="hidden" r:id="rId8"/>
  </sheets>
  <definedNames>
    <definedName name="_xlnm._FilterDatabase" localSheetId="5" hidden="1">'Retrofit Data'!$B$5:$AB$108</definedName>
    <definedName name="_xlnm._FilterDatabase" localSheetId="6" hidden="1">'Retrofit Data - DES'!$B$5:$AB$123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2" i="13" l="1"/>
  <c r="S105" i="13"/>
  <c r="S21" i="13"/>
  <c r="D30" i="5" l="1"/>
  <c r="T79" i="13"/>
  <c r="S56" i="13"/>
  <c r="T10" i="13"/>
  <c r="S10" i="13"/>
  <c r="T117" i="13"/>
  <c r="S117" i="13"/>
  <c r="T104" i="13"/>
  <c r="S104" i="13"/>
  <c r="T91" i="13"/>
  <c r="S91" i="13"/>
  <c r="T78" i="13"/>
  <c r="S78" i="13"/>
  <c r="T66" i="13"/>
  <c r="S66" i="13"/>
  <c r="T55" i="13"/>
  <c r="S55" i="13"/>
  <c r="T45" i="13"/>
  <c r="S45" i="13"/>
  <c r="T34" i="13"/>
  <c r="S34" i="13"/>
  <c r="T20" i="13"/>
  <c r="S20" i="13"/>
  <c r="T108" i="13"/>
  <c r="S108" i="13"/>
  <c r="T95" i="13"/>
  <c r="S95" i="13"/>
  <c r="T82" i="13"/>
  <c r="S82" i="13"/>
  <c r="T69" i="13"/>
  <c r="S69" i="13"/>
  <c r="T38" i="13"/>
  <c r="S38" i="13"/>
  <c r="S24" i="13"/>
  <c r="T21" i="13"/>
  <c r="T105" i="13"/>
  <c r="T92" i="13"/>
  <c r="S79" i="13"/>
  <c r="T56" i="13"/>
  <c r="S35" i="13"/>
  <c r="D40" i="5"/>
  <c r="D41" i="5" s="1"/>
  <c r="B3" i="12" l="1" a="1"/>
  <c r="B3" i="12" s="1"/>
  <c r="T35" i="13" l="1"/>
  <c r="D16" i="5"/>
  <c r="D17" i="5" s="1"/>
  <c r="H3" i="12" a="1"/>
  <c r="H3" i="12" s="1"/>
  <c r="L15" i="13"/>
  <c r="L29" i="13"/>
  <c r="L27" i="13"/>
  <c r="Y27" i="13" s="1"/>
  <c r="L50" i="13"/>
  <c r="Y50" i="13" s="1"/>
  <c r="L61" i="13"/>
  <c r="L86" i="13"/>
  <c r="Z86" i="13" s="1"/>
  <c r="L85" i="13"/>
  <c r="L123" i="13"/>
  <c r="L122" i="13"/>
  <c r="L112" i="13"/>
  <c r="Y112" i="13" s="1"/>
  <c r="L111" i="13"/>
  <c r="L110" i="13"/>
  <c r="Y110" i="13" s="1"/>
  <c r="L99" i="13"/>
  <c r="L98" i="13"/>
  <c r="Z98" i="13" s="1"/>
  <c r="L97" i="13"/>
  <c r="L121" i="13"/>
  <c r="Z121" i="13" s="1"/>
  <c r="L120" i="13"/>
  <c r="Z120" i="13" s="1"/>
  <c r="L113" i="13"/>
  <c r="Z113" i="13" s="1"/>
  <c r="L119" i="13"/>
  <c r="L118" i="13"/>
  <c r="L117" i="13"/>
  <c r="Y117" i="13" s="1"/>
  <c r="L116" i="13"/>
  <c r="Z116" i="13" s="1"/>
  <c r="L115" i="13"/>
  <c r="Y115" i="13" s="1"/>
  <c r="L114" i="13"/>
  <c r="L109" i="13"/>
  <c r="Z109" i="13" s="1"/>
  <c r="L100" i="13"/>
  <c r="Z100" i="13" s="1"/>
  <c r="L108" i="13"/>
  <c r="L107" i="13"/>
  <c r="Z107" i="13" s="1"/>
  <c r="L106" i="13"/>
  <c r="Y106" i="13" s="1"/>
  <c r="L105" i="13"/>
  <c r="L104" i="13"/>
  <c r="Z104" i="13" s="1"/>
  <c r="L103" i="13"/>
  <c r="L102" i="13"/>
  <c r="L101" i="13"/>
  <c r="L96" i="13"/>
  <c r="Z96" i="13" s="1"/>
  <c r="L87" i="13"/>
  <c r="Z87" i="13" s="1"/>
  <c r="L95" i="13"/>
  <c r="Y95" i="13" s="1"/>
  <c r="L94" i="13"/>
  <c r="L93" i="13"/>
  <c r="L92" i="13"/>
  <c r="L91" i="13"/>
  <c r="L90" i="13"/>
  <c r="L89" i="13"/>
  <c r="Z89" i="13" s="1"/>
  <c r="L88" i="13"/>
  <c r="L84" i="13"/>
  <c r="Z84" i="13" s="1"/>
  <c r="L83" i="13"/>
  <c r="Y83" i="13" s="1"/>
  <c r="L74" i="13"/>
  <c r="Z74" i="13" s="1"/>
  <c r="L82" i="13"/>
  <c r="L81" i="13"/>
  <c r="Y81" i="13" s="1"/>
  <c r="L80" i="13"/>
  <c r="Z80" i="13" s="1"/>
  <c r="L79" i="13"/>
  <c r="L78" i="13"/>
  <c r="L77" i="13"/>
  <c r="Z77" i="13" s="1"/>
  <c r="L76" i="13"/>
  <c r="Y76" i="13" s="1"/>
  <c r="L75" i="13"/>
  <c r="L71" i="13"/>
  <c r="Z71" i="13" s="1"/>
  <c r="L70" i="13"/>
  <c r="Y70" i="13" s="1"/>
  <c r="L62" i="13"/>
  <c r="Z62" i="13" s="1"/>
  <c r="L73" i="13"/>
  <c r="L72" i="13"/>
  <c r="L69" i="13"/>
  <c r="Z69" i="13" s="1"/>
  <c r="L68" i="13"/>
  <c r="Y68" i="13" s="1"/>
  <c r="L67" i="13"/>
  <c r="L66" i="13"/>
  <c r="L65" i="13"/>
  <c r="Z65" i="13" s="1"/>
  <c r="L64" i="13"/>
  <c r="Z64" i="13" s="1"/>
  <c r="L63" i="13"/>
  <c r="L60" i="13"/>
  <c r="Y60" i="13" s="1"/>
  <c r="L51" i="13"/>
  <c r="Z51" i="13" s="1"/>
  <c r="L59" i="13"/>
  <c r="Z59" i="13" s="1"/>
  <c r="L58" i="13"/>
  <c r="L57" i="13"/>
  <c r="L56" i="13"/>
  <c r="Z56" i="13" s="1"/>
  <c r="L55" i="13"/>
  <c r="L54" i="13"/>
  <c r="L53" i="13"/>
  <c r="L52" i="13"/>
  <c r="Z52" i="13" s="1"/>
  <c r="L49" i="13"/>
  <c r="Z49" i="13" s="1"/>
  <c r="L48" i="13"/>
  <c r="Z48" i="13" s="1"/>
  <c r="L41" i="13"/>
  <c r="Z41" i="13" s="1"/>
  <c r="L47" i="13"/>
  <c r="L46" i="13"/>
  <c r="L45" i="13"/>
  <c r="L44" i="13"/>
  <c r="Z44" i="13" s="1"/>
  <c r="L43" i="13"/>
  <c r="Y43" i="13" s="1"/>
  <c r="L42" i="13"/>
  <c r="Z42" i="13" s="1"/>
  <c r="L40" i="13"/>
  <c r="Z40" i="13" s="1"/>
  <c r="L39" i="13"/>
  <c r="Z39" i="13" s="1"/>
  <c r="L30" i="13"/>
  <c r="Z30" i="13" s="1"/>
  <c r="L38" i="13"/>
  <c r="L37" i="13"/>
  <c r="Z37" i="13" s="1"/>
  <c r="L36" i="13"/>
  <c r="Y36" i="13" s="1"/>
  <c r="L35" i="13"/>
  <c r="Y35" i="13" s="1"/>
  <c r="L34" i="13"/>
  <c r="Z34" i="13" s="1"/>
  <c r="L33" i="13"/>
  <c r="Z33" i="13" s="1"/>
  <c r="L32" i="13"/>
  <c r="Z32" i="13" s="1"/>
  <c r="L31" i="13"/>
  <c r="Z31" i="13" s="1"/>
  <c r="L25" i="13"/>
  <c r="Z25" i="13" s="1"/>
  <c r="L16" i="13"/>
  <c r="Z16" i="13" s="1"/>
  <c r="L28" i="13"/>
  <c r="Z28" i="13" s="1"/>
  <c r="L26" i="13"/>
  <c r="Z26" i="13" s="1"/>
  <c r="L24" i="13"/>
  <c r="Z24" i="13" s="1"/>
  <c r="L23" i="13"/>
  <c r="Z23" i="13" s="1"/>
  <c r="L22" i="13"/>
  <c r="L21" i="13"/>
  <c r="Y21" i="13" s="1"/>
  <c r="L20" i="13"/>
  <c r="Z20" i="13" s="1"/>
  <c r="L19" i="13"/>
  <c r="L18" i="13"/>
  <c r="Z18" i="13" s="1"/>
  <c r="L17" i="13"/>
  <c r="L14" i="13"/>
  <c r="Z14" i="13" s="1"/>
  <c r="L13" i="13"/>
  <c r="Z13" i="13" s="1"/>
  <c r="L6" i="13"/>
  <c r="Z6" i="13" s="1"/>
  <c r="L12" i="13"/>
  <c r="L11" i="13"/>
  <c r="Z11" i="13" s="1"/>
  <c r="L10" i="13"/>
  <c r="Z10" i="13" s="1"/>
  <c r="L9" i="13"/>
  <c r="Y9" i="13" s="1"/>
  <c r="L8" i="13"/>
  <c r="Z8" i="13" s="1"/>
  <c r="V39" i="13"/>
  <c r="V70" i="13"/>
  <c r="V15" i="13"/>
  <c r="U15" i="13"/>
  <c r="V29" i="13"/>
  <c r="U29" i="13"/>
  <c r="V27" i="13"/>
  <c r="U27" i="13"/>
  <c r="V50" i="13"/>
  <c r="U50" i="13"/>
  <c r="V61" i="13"/>
  <c r="U61" i="13"/>
  <c r="V86" i="13"/>
  <c r="U86" i="13"/>
  <c r="V85" i="13"/>
  <c r="U85" i="13"/>
  <c r="V123" i="13"/>
  <c r="U123" i="13"/>
  <c r="V122" i="13"/>
  <c r="U122" i="13"/>
  <c r="V112" i="13"/>
  <c r="U112" i="13"/>
  <c r="V111" i="13"/>
  <c r="U111" i="13"/>
  <c r="V110" i="13"/>
  <c r="U110" i="13"/>
  <c r="V99" i="13"/>
  <c r="U99" i="13"/>
  <c r="V98" i="13"/>
  <c r="U98" i="13"/>
  <c r="V97" i="13"/>
  <c r="U97" i="13"/>
  <c r="V119" i="13"/>
  <c r="U119" i="13"/>
  <c r="V118" i="13"/>
  <c r="U118" i="13"/>
  <c r="V117" i="13"/>
  <c r="U117" i="13"/>
  <c r="V116" i="13"/>
  <c r="U116" i="13"/>
  <c r="V115" i="13"/>
  <c r="U115" i="13"/>
  <c r="V114" i="13"/>
  <c r="U114" i="13"/>
  <c r="V108" i="13"/>
  <c r="U108" i="13"/>
  <c r="V107" i="13"/>
  <c r="U107" i="13"/>
  <c r="V106" i="13"/>
  <c r="U106" i="13"/>
  <c r="V105" i="13"/>
  <c r="U105" i="13"/>
  <c r="V104" i="13"/>
  <c r="U104" i="13"/>
  <c r="V103" i="13"/>
  <c r="U103" i="13"/>
  <c r="V102" i="13"/>
  <c r="U102" i="13"/>
  <c r="V101" i="13"/>
  <c r="U101" i="13"/>
  <c r="V95" i="13"/>
  <c r="U95" i="13"/>
  <c r="V94" i="13"/>
  <c r="U94" i="13"/>
  <c r="V93" i="13"/>
  <c r="U93" i="13"/>
  <c r="V92" i="13"/>
  <c r="U92" i="13"/>
  <c r="V91" i="13"/>
  <c r="U91" i="13"/>
  <c r="V90" i="13"/>
  <c r="U90" i="13"/>
  <c r="V89" i="13"/>
  <c r="U89" i="13"/>
  <c r="V88" i="13"/>
  <c r="U88" i="13"/>
  <c r="V82" i="13"/>
  <c r="U82" i="13"/>
  <c r="V81" i="13"/>
  <c r="U81" i="13"/>
  <c r="V80" i="13"/>
  <c r="U80" i="13"/>
  <c r="V79" i="13"/>
  <c r="U79" i="13"/>
  <c r="V78" i="13"/>
  <c r="U78" i="13"/>
  <c r="V77" i="13"/>
  <c r="U77" i="13"/>
  <c r="V76" i="13"/>
  <c r="U76" i="13"/>
  <c r="V75" i="13"/>
  <c r="U75" i="13"/>
  <c r="V73" i="13"/>
  <c r="U73" i="13"/>
  <c r="V72" i="13"/>
  <c r="U72" i="13"/>
  <c r="V69" i="13"/>
  <c r="U69" i="13"/>
  <c r="V68" i="13"/>
  <c r="U68" i="13"/>
  <c r="V67" i="13"/>
  <c r="U67" i="13"/>
  <c r="V66" i="13"/>
  <c r="U66" i="13"/>
  <c r="V65" i="13"/>
  <c r="U65" i="13"/>
  <c r="V64" i="13"/>
  <c r="U64" i="13"/>
  <c r="V63" i="13"/>
  <c r="U63" i="13"/>
  <c r="V59" i="13"/>
  <c r="U59" i="13"/>
  <c r="V58" i="13"/>
  <c r="U58" i="13"/>
  <c r="V57" i="13"/>
  <c r="U57" i="13"/>
  <c r="V56" i="13"/>
  <c r="U56" i="13"/>
  <c r="V55" i="13"/>
  <c r="U55" i="13"/>
  <c r="V54" i="13"/>
  <c r="U54" i="13"/>
  <c r="V53" i="13"/>
  <c r="U53" i="13"/>
  <c r="V52" i="13"/>
  <c r="U52" i="13"/>
  <c r="V47" i="13"/>
  <c r="U47" i="13"/>
  <c r="V46" i="13"/>
  <c r="U46" i="13"/>
  <c r="V45" i="13"/>
  <c r="U45" i="13"/>
  <c r="V44" i="13"/>
  <c r="U44" i="13"/>
  <c r="V43" i="13"/>
  <c r="U43" i="13"/>
  <c r="V42" i="13"/>
  <c r="U42" i="13"/>
  <c r="V38" i="13"/>
  <c r="U38" i="13"/>
  <c r="V37" i="13"/>
  <c r="U37" i="13"/>
  <c r="V36" i="13"/>
  <c r="U36" i="13"/>
  <c r="V35" i="13"/>
  <c r="U35" i="13"/>
  <c r="V34" i="13"/>
  <c r="U34" i="13"/>
  <c r="V33" i="13"/>
  <c r="U33" i="13"/>
  <c r="V32" i="13"/>
  <c r="U32" i="13"/>
  <c r="V31" i="13"/>
  <c r="U31" i="13"/>
  <c r="V28" i="13"/>
  <c r="U28" i="13"/>
  <c r="V26" i="13"/>
  <c r="U26" i="13"/>
  <c r="V24" i="13"/>
  <c r="U24" i="13"/>
  <c r="V23" i="13"/>
  <c r="U23" i="13"/>
  <c r="V22" i="13"/>
  <c r="U22" i="13"/>
  <c r="V21" i="13"/>
  <c r="U21" i="13"/>
  <c r="V20" i="13"/>
  <c r="U20" i="13"/>
  <c r="V19" i="13"/>
  <c r="U19" i="13"/>
  <c r="V18" i="13"/>
  <c r="U18" i="13"/>
  <c r="V17" i="13"/>
  <c r="U17" i="13"/>
  <c r="V12" i="13"/>
  <c r="U12" i="13"/>
  <c r="V11" i="13"/>
  <c r="U11" i="13"/>
  <c r="V10" i="13"/>
  <c r="U10" i="13"/>
  <c r="V9" i="13"/>
  <c r="U9" i="13"/>
  <c r="V8" i="13"/>
  <c r="U8" i="13"/>
  <c r="K15" i="13"/>
  <c r="I15" i="13"/>
  <c r="B15" i="13"/>
  <c r="K29" i="13"/>
  <c r="I29" i="13"/>
  <c r="B29" i="13"/>
  <c r="K27" i="13"/>
  <c r="I27" i="13"/>
  <c r="B27" i="13"/>
  <c r="K50" i="13"/>
  <c r="W50" i="13" s="1"/>
  <c r="I50" i="13"/>
  <c r="B50" i="13"/>
  <c r="K61" i="13"/>
  <c r="I61" i="13"/>
  <c r="B61" i="13"/>
  <c r="K86" i="13"/>
  <c r="W86" i="13" s="1"/>
  <c r="I86" i="13"/>
  <c r="B86" i="13"/>
  <c r="K85" i="13"/>
  <c r="I85" i="13"/>
  <c r="B85" i="13"/>
  <c r="K123" i="13"/>
  <c r="X123" i="13" s="1"/>
  <c r="I123" i="13"/>
  <c r="B123" i="13"/>
  <c r="K122" i="13"/>
  <c r="I122" i="13"/>
  <c r="B122" i="13"/>
  <c r="K112" i="13"/>
  <c r="I112" i="13"/>
  <c r="B112" i="13"/>
  <c r="K111" i="13"/>
  <c r="I111" i="13"/>
  <c r="B111" i="13"/>
  <c r="K110" i="13"/>
  <c r="W110" i="13" s="1"/>
  <c r="I110" i="13"/>
  <c r="B110" i="13"/>
  <c r="K99" i="13"/>
  <c r="I99" i="13"/>
  <c r="B99" i="13"/>
  <c r="K98" i="13"/>
  <c r="W98" i="13" s="1"/>
  <c r="I98" i="13"/>
  <c r="B98" i="13"/>
  <c r="K97" i="13"/>
  <c r="I97" i="13"/>
  <c r="B97" i="13"/>
  <c r="K121" i="13"/>
  <c r="I121" i="13"/>
  <c r="B121" i="13"/>
  <c r="K120" i="13"/>
  <c r="I120" i="13"/>
  <c r="B120" i="13"/>
  <c r="K113" i="13"/>
  <c r="I113" i="13"/>
  <c r="B113" i="13"/>
  <c r="K119" i="13"/>
  <c r="I119" i="13"/>
  <c r="B119" i="13"/>
  <c r="T118" i="13"/>
  <c r="S118" i="13"/>
  <c r="K118" i="13"/>
  <c r="I118" i="13"/>
  <c r="B118" i="13"/>
  <c r="K117" i="13"/>
  <c r="I117" i="13"/>
  <c r="B117" i="13"/>
  <c r="K116" i="13"/>
  <c r="I116" i="13"/>
  <c r="B116" i="13"/>
  <c r="K115" i="13"/>
  <c r="I115" i="13"/>
  <c r="B115" i="13"/>
  <c r="K114" i="13"/>
  <c r="I114" i="13"/>
  <c r="B114" i="13"/>
  <c r="K109" i="13"/>
  <c r="I109" i="13"/>
  <c r="B109" i="13"/>
  <c r="K100" i="13"/>
  <c r="V100" i="13"/>
  <c r="I100" i="13"/>
  <c r="B100" i="13"/>
  <c r="K108" i="13"/>
  <c r="W108" i="13" s="1"/>
  <c r="I108" i="13"/>
  <c r="B108" i="13"/>
  <c r="K107" i="13"/>
  <c r="I107" i="13"/>
  <c r="B107" i="13"/>
  <c r="T106" i="13"/>
  <c r="S106" i="13"/>
  <c r="K106" i="13"/>
  <c r="I106" i="13"/>
  <c r="B106" i="13"/>
  <c r="K105" i="13"/>
  <c r="I105" i="13"/>
  <c r="B105" i="13"/>
  <c r="K104" i="13"/>
  <c r="I104" i="13"/>
  <c r="B104" i="13"/>
  <c r="K103" i="13"/>
  <c r="X103" i="13" s="1"/>
  <c r="I103" i="13"/>
  <c r="B103" i="13"/>
  <c r="K102" i="13"/>
  <c r="X102" i="13" s="1"/>
  <c r="I102" i="13"/>
  <c r="B102" i="13"/>
  <c r="K101" i="13"/>
  <c r="I101" i="13"/>
  <c r="B101" i="13"/>
  <c r="K96" i="13"/>
  <c r="I96" i="13"/>
  <c r="B96" i="13"/>
  <c r="K87" i="13"/>
  <c r="I87" i="13"/>
  <c r="B87" i="13"/>
  <c r="K95" i="13"/>
  <c r="I95" i="13"/>
  <c r="B95" i="13"/>
  <c r="K94" i="13"/>
  <c r="W94" i="13" s="1"/>
  <c r="I94" i="13"/>
  <c r="B94" i="13"/>
  <c r="T93" i="13"/>
  <c r="S93" i="13"/>
  <c r="K93" i="13"/>
  <c r="I93" i="13"/>
  <c r="B93" i="13"/>
  <c r="K92" i="13"/>
  <c r="I92" i="13"/>
  <c r="B92" i="13"/>
  <c r="K91" i="13"/>
  <c r="I91" i="13"/>
  <c r="B91" i="13"/>
  <c r="K90" i="13"/>
  <c r="I90" i="13"/>
  <c r="B90" i="13"/>
  <c r="K89" i="13"/>
  <c r="I89" i="13"/>
  <c r="B89" i="13"/>
  <c r="K88" i="13"/>
  <c r="I88" i="13"/>
  <c r="B88" i="13"/>
  <c r="K84" i="13"/>
  <c r="I84" i="13"/>
  <c r="B84" i="13"/>
  <c r="K83" i="13"/>
  <c r="U83" i="13"/>
  <c r="I83" i="13"/>
  <c r="B83" i="13"/>
  <c r="K74" i="13"/>
  <c r="V74" i="13"/>
  <c r="I74" i="13"/>
  <c r="B74" i="13"/>
  <c r="K82" i="13"/>
  <c r="I82" i="13"/>
  <c r="B82" i="13"/>
  <c r="K81" i="13"/>
  <c r="I81" i="13"/>
  <c r="B81" i="13"/>
  <c r="T80" i="13"/>
  <c r="S80" i="13"/>
  <c r="K80" i="13"/>
  <c r="I80" i="13"/>
  <c r="B80" i="13"/>
  <c r="K79" i="13"/>
  <c r="I79" i="13"/>
  <c r="B79" i="13"/>
  <c r="K78" i="13"/>
  <c r="I78" i="13"/>
  <c r="B78" i="13"/>
  <c r="K77" i="13"/>
  <c r="I77" i="13"/>
  <c r="B77" i="13"/>
  <c r="K76" i="13"/>
  <c r="X76" i="13" s="1"/>
  <c r="I76" i="13"/>
  <c r="B76" i="13"/>
  <c r="K75" i="13"/>
  <c r="X75" i="13" s="1"/>
  <c r="I75" i="13"/>
  <c r="B75" i="13"/>
  <c r="K71" i="13"/>
  <c r="I71" i="13"/>
  <c r="B71" i="13"/>
  <c r="K70" i="13"/>
  <c r="I70" i="13"/>
  <c r="B70" i="13"/>
  <c r="K62" i="13"/>
  <c r="I62" i="13"/>
  <c r="B62" i="13"/>
  <c r="K73" i="13"/>
  <c r="W73" i="13" s="1"/>
  <c r="B73" i="13"/>
  <c r="K72" i="13"/>
  <c r="B72" i="13"/>
  <c r="K69" i="13"/>
  <c r="I69" i="13"/>
  <c r="B69" i="13"/>
  <c r="K68" i="13"/>
  <c r="X68" i="13" s="1"/>
  <c r="I68" i="13"/>
  <c r="B68" i="13"/>
  <c r="T67" i="13"/>
  <c r="S67" i="13"/>
  <c r="K67" i="13"/>
  <c r="I67" i="13"/>
  <c r="B67" i="13"/>
  <c r="K66" i="13"/>
  <c r="I66" i="13"/>
  <c r="B66" i="13"/>
  <c r="K65" i="13"/>
  <c r="I65" i="13"/>
  <c r="B65" i="13"/>
  <c r="K64" i="13"/>
  <c r="X64" i="13" s="1"/>
  <c r="B64" i="13"/>
  <c r="K63" i="13"/>
  <c r="X63" i="13" s="1"/>
  <c r="B63" i="13"/>
  <c r="K60" i="13"/>
  <c r="I60" i="13"/>
  <c r="B60" i="13"/>
  <c r="K51" i="13"/>
  <c r="I51" i="13"/>
  <c r="B51" i="13"/>
  <c r="T59" i="13"/>
  <c r="S59" i="13"/>
  <c r="K59" i="13"/>
  <c r="I59" i="13"/>
  <c r="B59" i="13"/>
  <c r="K58" i="13"/>
  <c r="I58" i="13"/>
  <c r="B58" i="13"/>
  <c r="T57" i="13"/>
  <c r="S57" i="13"/>
  <c r="K57" i="13"/>
  <c r="I57" i="13"/>
  <c r="B57" i="13"/>
  <c r="K56" i="13"/>
  <c r="I56" i="13"/>
  <c r="B56" i="13"/>
  <c r="K55" i="13"/>
  <c r="I55" i="13"/>
  <c r="B55" i="13"/>
  <c r="K54" i="13"/>
  <c r="W54" i="13" s="1"/>
  <c r="I54" i="13"/>
  <c r="B54" i="13"/>
  <c r="K53" i="13"/>
  <c r="B53" i="13"/>
  <c r="K52" i="13"/>
  <c r="B52" i="13"/>
  <c r="K49" i="13"/>
  <c r="V49" i="13"/>
  <c r="I49" i="13"/>
  <c r="B49" i="13"/>
  <c r="K48" i="13"/>
  <c r="U48" i="13"/>
  <c r="I48" i="13"/>
  <c r="B48" i="13"/>
  <c r="K41" i="13"/>
  <c r="U41" i="13"/>
  <c r="I41" i="13"/>
  <c r="B41" i="13"/>
  <c r="T47" i="13"/>
  <c r="S47" i="13"/>
  <c r="K47" i="13"/>
  <c r="I47" i="13"/>
  <c r="B47" i="13"/>
  <c r="K46" i="13"/>
  <c r="I46" i="13"/>
  <c r="B46" i="13"/>
  <c r="K45" i="13"/>
  <c r="I45" i="13"/>
  <c r="B45" i="13"/>
  <c r="K44" i="13"/>
  <c r="X44" i="13" s="1"/>
  <c r="I44" i="13"/>
  <c r="B44" i="13"/>
  <c r="K43" i="13"/>
  <c r="X43" i="13" s="1"/>
  <c r="B43" i="13"/>
  <c r="K42" i="13"/>
  <c r="X42" i="13" s="1"/>
  <c r="B42" i="13"/>
  <c r="K40" i="13"/>
  <c r="U40" i="13"/>
  <c r="I40" i="13"/>
  <c r="B40" i="13"/>
  <c r="K39" i="13"/>
  <c r="I39" i="13"/>
  <c r="B39" i="13"/>
  <c r="K30" i="13"/>
  <c r="V30" i="13"/>
  <c r="I30" i="13"/>
  <c r="B30" i="13"/>
  <c r="K38" i="13"/>
  <c r="I38" i="13"/>
  <c r="B38" i="13"/>
  <c r="K37" i="13"/>
  <c r="X37" i="13" s="1"/>
  <c r="I37" i="13"/>
  <c r="B37" i="13"/>
  <c r="T36" i="13"/>
  <c r="S36" i="13"/>
  <c r="K36" i="13"/>
  <c r="I36" i="13"/>
  <c r="B36" i="13"/>
  <c r="K35" i="13"/>
  <c r="I35" i="13"/>
  <c r="B35" i="13"/>
  <c r="K34" i="13"/>
  <c r="I34" i="13"/>
  <c r="B34" i="13"/>
  <c r="K33" i="13"/>
  <c r="X33" i="13" s="1"/>
  <c r="I33" i="13"/>
  <c r="B33" i="13"/>
  <c r="K32" i="13"/>
  <c r="B32" i="13"/>
  <c r="K31" i="13"/>
  <c r="X31" i="13" s="1"/>
  <c r="B31" i="13"/>
  <c r="K25" i="13"/>
  <c r="V25" i="13"/>
  <c r="I25" i="13"/>
  <c r="B25" i="13"/>
  <c r="K16" i="13"/>
  <c r="V16" i="13"/>
  <c r="I16" i="13"/>
  <c r="B16" i="13"/>
  <c r="K28" i="13"/>
  <c r="X28" i="13" s="1"/>
  <c r="I28" i="13"/>
  <c r="B28" i="13"/>
  <c r="K26" i="13"/>
  <c r="W26" i="13" s="1"/>
  <c r="I26" i="13"/>
  <c r="B26" i="13"/>
  <c r="T24" i="13"/>
  <c r="K24" i="13"/>
  <c r="I24" i="13"/>
  <c r="B24" i="13"/>
  <c r="K23" i="13"/>
  <c r="I23" i="13"/>
  <c r="B23" i="13"/>
  <c r="T22" i="13"/>
  <c r="S22" i="13"/>
  <c r="K22" i="13"/>
  <c r="I22" i="13"/>
  <c r="B22" i="13"/>
  <c r="K21" i="13"/>
  <c r="I21" i="13"/>
  <c r="B21" i="13"/>
  <c r="K20" i="13"/>
  <c r="I20" i="13"/>
  <c r="B20" i="13"/>
  <c r="K19" i="13"/>
  <c r="I19" i="13"/>
  <c r="B19" i="13"/>
  <c r="K18" i="13"/>
  <c r="X18" i="13" s="1"/>
  <c r="I18" i="13"/>
  <c r="B18" i="13"/>
  <c r="K17" i="13"/>
  <c r="X17" i="13" s="1"/>
  <c r="I17" i="13"/>
  <c r="B17" i="13"/>
  <c r="K14" i="13"/>
  <c r="U14" i="13"/>
  <c r="I14" i="13"/>
  <c r="B14" i="13"/>
  <c r="K13" i="13"/>
  <c r="I13" i="13"/>
  <c r="B13" i="13"/>
  <c r="K6" i="13"/>
  <c r="V6" i="13"/>
  <c r="I6" i="13"/>
  <c r="B6" i="13"/>
  <c r="K12" i="13"/>
  <c r="X12" i="13" s="1"/>
  <c r="I12" i="13"/>
  <c r="B12" i="13"/>
  <c r="T11" i="13"/>
  <c r="S11" i="13"/>
  <c r="K11" i="13"/>
  <c r="I11" i="13"/>
  <c r="B11" i="13"/>
  <c r="K10" i="13"/>
  <c r="I10" i="13"/>
  <c r="B10" i="13"/>
  <c r="K9" i="13"/>
  <c r="I9" i="13"/>
  <c r="B9" i="13"/>
  <c r="K8" i="13"/>
  <c r="X8" i="13" s="1"/>
  <c r="I8" i="13"/>
  <c r="B8" i="13"/>
  <c r="V7" i="13"/>
  <c r="U7" i="13"/>
  <c r="L7" i="13"/>
  <c r="Z7" i="13" s="1"/>
  <c r="K7" i="13"/>
  <c r="X7" i="13" s="1"/>
  <c r="I7" i="13"/>
  <c r="B7" i="13"/>
  <c r="B4" i="13" a="1"/>
  <c r="B4" i="13" s="1"/>
  <c r="K108" i="11"/>
  <c r="J108" i="11"/>
  <c r="Z108" i="11" s="1"/>
  <c r="I108" i="11"/>
  <c r="B108" i="11"/>
  <c r="S58" i="11"/>
  <c r="S61" i="11"/>
  <c r="D39" i="5"/>
  <c r="D42" i="5" s="1"/>
  <c r="D47" i="5"/>
  <c r="D48" i="5" s="1"/>
  <c r="D24" i="5"/>
  <c r="D22" i="5"/>
  <c r="R60" i="11"/>
  <c r="R51" i="11"/>
  <c r="R20" i="11"/>
  <c r="R72" i="11"/>
  <c r="Q60" i="11"/>
  <c r="Q51" i="11"/>
  <c r="Q20" i="11"/>
  <c r="Q72" i="11"/>
  <c r="Q31" i="11"/>
  <c r="R31" i="11"/>
  <c r="M24" i="2"/>
  <c r="S95" i="11"/>
  <c r="S84" i="11"/>
  <c r="S52" i="11"/>
  <c r="S21" i="11"/>
  <c r="S73" i="11"/>
  <c r="S32" i="11"/>
  <c r="T95" i="11"/>
  <c r="T84" i="11"/>
  <c r="T52" i="11"/>
  <c r="T21" i="11"/>
  <c r="T73" i="11"/>
  <c r="T32" i="11"/>
  <c r="T61" i="11"/>
  <c r="Z83" i="13" l="1"/>
  <c r="W36" i="13"/>
  <c r="AA36" i="13" s="1"/>
  <c r="W22" i="13"/>
  <c r="W80" i="13"/>
  <c r="Y16" i="13"/>
  <c r="Y14" i="13"/>
  <c r="Y49" i="13"/>
  <c r="Y39" i="13"/>
  <c r="Y96" i="13"/>
  <c r="Z60" i="13"/>
  <c r="Z70" i="13"/>
  <c r="Y120" i="13"/>
  <c r="Y71" i="13"/>
  <c r="Y6" i="13"/>
  <c r="Y30" i="13"/>
  <c r="Y109" i="13"/>
  <c r="Y113" i="13"/>
  <c r="Y62" i="13"/>
  <c r="Y25" i="13"/>
  <c r="Y100" i="13"/>
  <c r="Y41" i="13"/>
  <c r="Y87" i="13"/>
  <c r="Y121" i="13"/>
  <c r="Y51" i="13"/>
  <c r="Y84" i="13"/>
  <c r="Y13" i="13"/>
  <c r="Y40" i="13"/>
  <c r="Y48" i="13"/>
  <c r="Y74" i="13"/>
  <c r="AB33" i="13"/>
  <c r="X21" i="13"/>
  <c r="X24" i="13"/>
  <c r="AB24" i="13" s="1"/>
  <c r="X47" i="13"/>
  <c r="X92" i="13"/>
  <c r="W24" i="13"/>
  <c r="Z106" i="13"/>
  <c r="X49" i="13"/>
  <c r="AB49" i="13" s="1"/>
  <c r="X95" i="13"/>
  <c r="W105" i="13"/>
  <c r="W10" i="13"/>
  <c r="W20" i="13"/>
  <c r="W67" i="13"/>
  <c r="W106" i="13"/>
  <c r="AA106" i="13" s="1"/>
  <c r="X25" i="13"/>
  <c r="AB25" i="13" s="1"/>
  <c r="W40" i="13"/>
  <c r="W62" i="13"/>
  <c r="Z43" i="13"/>
  <c r="AB43" i="13" s="1"/>
  <c r="U70" i="13"/>
  <c r="Y86" i="13"/>
  <c r="AA86" i="13" s="1"/>
  <c r="W21" i="13"/>
  <c r="AA21" i="13" s="1"/>
  <c r="W13" i="13"/>
  <c r="X30" i="13"/>
  <c r="AB30" i="13" s="1"/>
  <c r="X84" i="13"/>
  <c r="W96" i="13"/>
  <c r="X113" i="13"/>
  <c r="X73" i="13"/>
  <c r="U30" i="13"/>
  <c r="Y59" i="13"/>
  <c r="U74" i="13"/>
  <c r="Y32" i="13"/>
  <c r="W43" i="13"/>
  <c r="AA43" i="13" s="1"/>
  <c r="Y56" i="13"/>
  <c r="Z95" i="13"/>
  <c r="Z36" i="13"/>
  <c r="W30" i="13"/>
  <c r="Z76" i="13"/>
  <c r="AB76" i="13" s="1"/>
  <c r="Y89" i="13"/>
  <c r="Z110" i="13"/>
  <c r="Z68" i="13"/>
  <c r="AB68" i="13" s="1"/>
  <c r="W12" i="13"/>
  <c r="Z27" i="13"/>
  <c r="X20" i="13"/>
  <c r="AB20" i="13" s="1"/>
  <c r="X39" i="13"/>
  <c r="AB39" i="13" s="1"/>
  <c r="X67" i="13"/>
  <c r="AB8" i="13"/>
  <c r="Y10" i="13"/>
  <c r="W18" i="13"/>
  <c r="W31" i="13"/>
  <c r="U39" i="13"/>
  <c r="X54" i="13"/>
  <c r="X98" i="13"/>
  <c r="AB98" i="13" s="1"/>
  <c r="W123" i="13"/>
  <c r="X40" i="13"/>
  <c r="X22" i="13"/>
  <c r="X34" i="13"/>
  <c r="AB34" i="13" s="1"/>
  <c r="W38" i="13"/>
  <c r="X45" i="13"/>
  <c r="W55" i="13"/>
  <c r="W8" i="13"/>
  <c r="Y18" i="13"/>
  <c r="U25" i="13"/>
  <c r="Y31" i="13"/>
  <c r="Y34" i="13"/>
  <c r="Y37" i="13"/>
  <c r="Y42" i="13"/>
  <c r="W64" i="13"/>
  <c r="Z81" i="13"/>
  <c r="W84" i="13"/>
  <c r="X94" i="13"/>
  <c r="Y98" i="13"/>
  <c r="AA98" i="13" s="1"/>
  <c r="Z21" i="13"/>
  <c r="W7" i="13"/>
  <c r="Y28" i="13"/>
  <c r="W75" i="13"/>
  <c r="U100" i="13"/>
  <c r="Z50" i="13"/>
  <c r="Y11" i="13"/>
  <c r="X11" i="13"/>
  <c r="AB11" i="13" s="1"/>
  <c r="W47" i="13"/>
  <c r="V40" i="13"/>
  <c r="U49" i="13"/>
  <c r="Y52" i="13"/>
  <c r="W68" i="13"/>
  <c r="AA68" i="13" s="1"/>
  <c r="Y116" i="13"/>
  <c r="Z112" i="13"/>
  <c r="Z46" i="13"/>
  <c r="Y46" i="13"/>
  <c r="Z75" i="13"/>
  <c r="AB75" i="13" s="1"/>
  <c r="Y75" i="13"/>
  <c r="Z94" i="13"/>
  <c r="Y94" i="13"/>
  <c r="AA94" i="13" s="1"/>
  <c r="Z105" i="13"/>
  <c r="Y105" i="13"/>
  <c r="W88" i="13"/>
  <c r="X88" i="13"/>
  <c r="V87" i="13"/>
  <c r="U87" i="13"/>
  <c r="X116" i="13"/>
  <c r="AB116" i="13" s="1"/>
  <c r="W116" i="13"/>
  <c r="V121" i="13"/>
  <c r="U121" i="13"/>
  <c r="X85" i="13"/>
  <c r="W85" i="13"/>
  <c r="Z22" i="13"/>
  <c r="Y22" i="13"/>
  <c r="W41" i="13"/>
  <c r="Z122" i="13"/>
  <c r="Y122" i="13"/>
  <c r="Z55" i="13"/>
  <c r="Y55" i="13"/>
  <c r="Z73" i="13"/>
  <c r="Y73" i="13"/>
  <c r="AA73" i="13" s="1"/>
  <c r="X74" i="13"/>
  <c r="AB74" i="13" s="1"/>
  <c r="W74" i="13"/>
  <c r="Y108" i="13"/>
  <c r="Z108" i="13"/>
  <c r="X32" i="13"/>
  <c r="AB32" i="13" s="1"/>
  <c r="W32" i="13"/>
  <c r="AA32" i="13" s="1"/>
  <c r="W93" i="13"/>
  <c r="X93" i="13"/>
  <c r="W104" i="13"/>
  <c r="X104" i="13"/>
  <c r="AB104" i="13" s="1"/>
  <c r="X97" i="13"/>
  <c r="W97" i="13"/>
  <c r="U16" i="13"/>
  <c r="W39" i="13"/>
  <c r="Z93" i="13"/>
  <c r="Y93" i="13"/>
  <c r="X109" i="13"/>
  <c r="W109" i="13"/>
  <c r="Z99" i="13"/>
  <c r="Y99" i="13"/>
  <c r="Z29" i="13"/>
  <c r="Y29" i="13"/>
  <c r="Y23" i="13"/>
  <c r="Y26" i="13"/>
  <c r="AA26" i="13" s="1"/>
  <c r="Z35" i="13"/>
  <c r="Y38" i="13"/>
  <c r="Z38" i="13"/>
  <c r="Z66" i="13"/>
  <c r="Y66" i="13"/>
  <c r="X79" i="13"/>
  <c r="W79" i="13"/>
  <c r="X114" i="13"/>
  <c r="W114" i="13"/>
  <c r="X122" i="13"/>
  <c r="W122" i="13"/>
  <c r="Z19" i="13"/>
  <c r="Y19" i="13"/>
  <c r="Z79" i="13"/>
  <c r="Y79" i="13"/>
  <c r="Y88" i="13"/>
  <c r="Z88" i="13"/>
  <c r="W87" i="13"/>
  <c r="X87" i="13"/>
  <c r="Z119" i="13"/>
  <c r="Y119" i="13"/>
  <c r="Z97" i="13"/>
  <c r="Y97" i="13"/>
  <c r="Z61" i="13"/>
  <c r="Y61" i="13"/>
  <c r="Y104" i="13"/>
  <c r="V14" i="13"/>
  <c r="V41" i="13"/>
  <c r="Y64" i="13"/>
  <c r="Z53" i="13"/>
  <c r="Y53" i="13"/>
  <c r="X70" i="13"/>
  <c r="W70" i="13"/>
  <c r="X19" i="13"/>
  <c r="W19" i="13"/>
  <c r="X58" i="13"/>
  <c r="W58" i="13"/>
  <c r="X99" i="13"/>
  <c r="W99" i="13"/>
  <c r="X61" i="13"/>
  <c r="W61" i="13"/>
  <c r="V48" i="13"/>
  <c r="Z12" i="13"/>
  <c r="AB12" i="13" s="1"/>
  <c r="Y12" i="13"/>
  <c r="Z17" i="13"/>
  <c r="AB17" i="13" s="1"/>
  <c r="Y17" i="13"/>
  <c r="X16" i="13"/>
  <c r="AB16" i="13" s="1"/>
  <c r="W16" i="13"/>
  <c r="Z45" i="13"/>
  <c r="Y45" i="13"/>
  <c r="X48" i="13"/>
  <c r="W48" i="13"/>
  <c r="Z82" i="13"/>
  <c r="Y82" i="13"/>
  <c r="Y90" i="13"/>
  <c r="Z90" i="13"/>
  <c r="X121" i="13"/>
  <c r="W121" i="13"/>
  <c r="Z85" i="13"/>
  <c r="Y85" i="13"/>
  <c r="Z9" i="13"/>
  <c r="W17" i="13"/>
  <c r="W34" i="13"/>
  <c r="W45" i="13"/>
  <c r="X41" i="13"/>
  <c r="Y77" i="13"/>
  <c r="Y80" i="13"/>
  <c r="W102" i="13"/>
  <c r="X9" i="13"/>
  <c r="W9" i="13"/>
  <c r="AA9" i="13" s="1"/>
  <c r="X82" i="13"/>
  <c r="W82" i="13"/>
  <c r="X90" i="13"/>
  <c r="W90" i="13"/>
  <c r="V109" i="13"/>
  <c r="U109" i="13"/>
  <c r="X119" i="13"/>
  <c r="W119" i="13"/>
  <c r="X111" i="13"/>
  <c r="W111" i="13"/>
  <c r="X29" i="13"/>
  <c r="W29" i="13"/>
  <c r="V83" i="13"/>
  <c r="X14" i="13"/>
  <c r="W14" i="13"/>
  <c r="Z58" i="13"/>
  <c r="Y58" i="13"/>
  <c r="X83" i="13"/>
  <c r="W83" i="13"/>
  <c r="AA83" i="13" s="1"/>
  <c r="Z102" i="13"/>
  <c r="AB102" i="13" s="1"/>
  <c r="Y102" i="13"/>
  <c r="Z114" i="13"/>
  <c r="Y114" i="13"/>
  <c r="Z111" i="13"/>
  <c r="Y111" i="13"/>
  <c r="X26" i="13"/>
  <c r="AB26" i="13" s="1"/>
  <c r="Y69" i="13"/>
  <c r="X10" i="13"/>
  <c r="AB10" i="13" s="1"/>
  <c r="V13" i="13"/>
  <c r="U13" i="13"/>
  <c r="X56" i="13"/>
  <c r="AB56" i="13" s="1"/>
  <c r="W56" i="13"/>
  <c r="X59" i="13"/>
  <c r="AB59" i="13" s="1"/>
  <c r="W59" i="13"/>
  <c r="V60" i="13"/>
  <c r="U60" i="13"/>
  <c r="Z63" i="13"/>
  <c r="AB63" i="13" s="1"/>
  <c r="Y63" i="13"/>
  <c r="Z72" i="13"/>
  <c r="Y72" i="13"/>
  <c r="W81" i="13"/>
  <c r="AA81" i="13" s="1"/>
  <c r="X81" i="13"/>
  <c r="V84" i="13"/>
  <c r="U84" i="13"/>
  <c r="X89" i="13"/>
  <c r="AB89" i="13" s="1"/>
  <c r="W89" i="13"/>
  <c r="X91" i="13"/>
  <c r="W91" i="13"/>
  <c r="V96" i="13"/>
  <c r="U96" i="13"/>
  <c r="X101" i="13"/>
  <c r="W101" i="13"/>
  <c r="W115" i="13"/>
  <c r="AA115" i="13" s="1"/>
  <c r="X115" i="13"/>
  <c r="X117" i="13"/>
  <c r="W117" i="13"/>
  <c r="AA117" i="13" s="1"/>
  <c r="V113" i="13"/>
  <c r="U113" i="13"/>
  <c r="V120" i="13"/>
  <c r="U120" i="13"/>
  <c r="X112" i="13"/>
  <c r="W112" i="13"/>
  <c r="AA112" i="13" s="1"/>
  <c r="X27" i="13"/>
  <c r="W27" i="13"/>
  <c r="AA27" i="13" s="1"/>
  <c r="X15" i="13"/>
  <c r="W15" i="13"/>
  <c r="U6" i="13"/>
  <c r="W28" i="13"/>
  <c r="W33" i="13"/>
  <c r="X36" i="13"/>
  <c r="W44" i="13"/>
  <c r="X50" i="13"/>
  <c r="X13" i="13"/>
  <c r="AB31" i="13"/>
  <c r="AB42" i="13"/>
  <c r="W49" i="13"/>
  <c r="W113" i="13"/>
  <c r="W6" i="13"/>
  <c r="W103" i="13"/>
  <c r="X110" i="13"/>
  <c r="X23" i="13"/>
  <c r="AB23" i="13" s="1"/>
  <c r="W23" i="13"/>
  <c r="X35" i="13"/>
  <c r="X38" i="13"/>
  <c r="X46" i="13"/>
  <c r="W46" i="13"/>
  <c r="X53" i="13"/>
  <c r="W53" i="13"/>
  <c r="X55" i="13"/>
  <c r="X66" i="13"/>
  <c r="W66" i="13"/>
  <c r="X69" i="13"/>
  <c r="AB69" i="13" s="1"/>
  <c r="W69" i="13"/>
  <c r="X77" i="13"/>
  <c r="AB77" i="13" s="1"/>
  <c r="W77" i="13"/>
  <c r="X80" i="13"/>
  <c r="AB80" i="13" s="1"/>
  <c r="X105" i="13"/>
  <c r="X108" i="13"/>
  <c r="X6" i="13"/>
  <c r="AB6" i="13" s="1"/>
  <c r="W35" i="13"/>
  <c r="AA35" i="13" s="1"/>
  <c r="X106" i="13"/>
  <c r="X86" i="13"/>
  <c r="AB86" i="13" s="1"/>
  <c r="X57" i="13"/>
  <c r="W57" i="13"/>
  <c r="V51" i="13"/>
  <c r="U51" i="13"/>
  <c r="X65" i="13"/>
  <c r="AB65" i="13" s="1"/>
  <c r="W65" i="13"/>
  <c r="V62" i="13"/>
  <c r="U62" i="13"/>
  <c r="V71" i="13"/>
  <c r="U71" i="13"/>
  <c r="X78" i="13"/>
  <c r="W78" i="13"/>
  <c r="X107" i="13"/>
  <c r="AB107" i="13" s="1"/>
  <c r="W107" i="13"/>
  <c r="X118" i="13"/>
  <c r="W118" i="13"/>
  <c r="Y8" i="13"/>
  <c r="W11" i="13"/>
  <c r="Y20" i="13"/>
  <c r="Y24" i="13"/>
  <c r="W25" i="13"/>
  <c r="Y33" i="13"/>
  <c r="W37" i="13"/>
  <c r="W42" i="13"/>
  <c r="Y44" i="13"/>
  <c r="W63" i="13"/>
  <c r="W76" i="13"/>
  <c r="AA76" i="13" s="1"/>
  <c r="W92" i="13"/>
  <c r="Z47" i="13"/>
  <c r="Y47" i="13"/>
  <c r="X52" i="13"/>
  <c r="AB52" i="13" s="1"/>
  <c r="W52" i="13"/>
  <c r="Z54" i="13"/>
  <c r="Y54" i="13"/>
  <c r="AA54" i="13" s="1"/>
  <c r="Z57" i="13"/>
  <c r="Y57" i="13"/>
  <c r="X51" i="13"/>
  <c r="W51" i="13"/>
  <c r="X72" i="13"/>
  <c r="W72" i="13"/>
  <c r="X62" i="13"/>
  <c r="X71" i="13"/>
  <c r="Z78" i="13"/>
  <c r="Y78" i="13"/>
  <c r="Z92" i="13"/>
  <c r="Y92" i="13"/>
  <c r="Z118" i="13"/>
  <c r="Y118" i="13"/>
  <c r="AB18" i="13"/>
  <c r="AB28" i="13"/>
  <c r="Y65" i="13"/>
  <c r="W71" i="13"/>
  <c r="Y107" i="13"/>
  <c r="Z115" i="13"/>
  <c r="Z117" i="13"/>
  <c r="X60" i="13"/>
  <c r="W60" i="13"/>
  <c r="Z67" i="13"/>
  <c r="Y67" i="13"/>
  <c r="Z91" i="13"/>
  <c r="Y91" i="13"/>
  <c r="X96" i="13"/>
  <c r="Z101" i="13"/>
  <c r="Y101" i="13"/>
  <c r="Z103" i="13"/>
  <c r="AB103" i="13" s="1"/>
  <c r="Y103" i="13"/>
  <c r="X100" i="13"/>
  <c r="AB100" i="13" s="1"/>
  <c r="W100" i="13"/>
  <c r="X120" i="13"/>
  <c r="W120" i="13"/>
  <c r="Z123" i="13"/>
  <c r="AB123" i="13" s="1"/>
  <c r="Y123" i="13"/>
  <c r="Z15" i="13"/>
  <c r="Y15" i="13"/>
  <c r="W95" i="13"/>
  <c r="AA95" i="13" s="1"/>
  <c r="AB37" i="13"/>
  <c r="AB44" i="13"/>
  <c r="AB64" i="13"/>
  <c r="AA110" i="13"/>
  <c r="AA50" i="13"/>
  <c r="AB7" i="13"/>
  <c r="Y7" i="13"/>
  <c r="X108" i="11"/>
  <c r="U108" i="11"/>
  <c r="V108" i="11"/>
  <c r="W108" i="11"/>
  <c r="Y108" i="11"/>
  <c r="K94" i="11"/>
  <c r="J94" i="11"/>
  <c r="U94" i="11" s="1"/>
  <c r="T104" i="11"/>
  <c r="S104" i="11"/>
  <c r="K104" i="11"/>
  <c r="J104" i="11"/>
  <c r="Z104" i="11" s="1"/>
  <c r="K97" i="11"/>
  <c r="J97" i="11"/>
  <c r="Z97" i="11" s="1"/>
  <c r="K96" i="11"/>
  <c r="J96" i="11"/>
  <c r="V96" i="11" s="1"/>
  <c r="K89" i="11"/>
  <c r="J89" i="11"/>
  <c r="V89" i="11" s="1"/>
  <c r="K93" i="11"/>
  <c r="J93" i="11"/>
  <c r="Z93" i="11" s="1"/>
  <c r="K99" i="11"/>
  <c r="J99" i="11"/>
  <c r="Z99" i="11" s="1"/>
  <c r="K98" i="11"/>
  <c r="J98" i="11"/>
  <c r="K95" i="11"/>
  <c r="J95" i="11"/>
  <c r="Z95" i="11" s="1"/>
  <c r="K92" i="11"/>
  <c r="J92" i="11"/>
  <c r="Z92" i="11" s="1"/>
  <c r="K91" i="11"/>
  <c r="J91" i="11"/>
  <c r="V91" i="11" s="1"/>
  <c r="K90" i="11"/>
  <c r="J90" i="11"/>
  <c r="Y90" i="11" s="1"/>
  <c r="K86" i="11"/>
  <c r="J86" i="11"/>
  <c r="Z86" i="11" s="1"/>
  <c r="K85" i="11"/>
  <c r="J85" i="11"/>
  <c r="Z85" i="11" s="1"/>
  <c r="K78" i="11"/>
  <c r="J78" i="11"/>
  <c r="K82" i="11"/>
  <c r="J82" i="11"/>
  <c r="Y82" i="11" s="1"/>
  <c r="K88" i="11"/>
  <c r="J88" i="11"/>
  <c r="U88" i="11" s="1"/>
  <c r="K87" i="11"/>
  <c r="J87" i="11"/>
  <c r="Y87" i="11" s="1"/>
  <c r="K84" i="11"/>
  <c r="J84" i="11"/>
  <c r="Z84" i="11" s="1"/>
  <c r="K83" i="11"/>
  <c r="J83" i="11"/>
  <c r="Z83" i="11" s="1"/>
  <c r="K81" i="11"/>
  <c r="J81" i="11"/>
  <c r="Z81" i="11" s="1"/>
  <c r="K80" i="11"/>
  <c r="J80" i="11"/>
  <c r="V80" i="11" s="1"/>
  <c r="K79" i="11"/>
  <c r="J79" i="11"/>
  <c r="Z79" i="11" s="1"/>
  <c r="K54" i="11"/>
  <c r="J54" i="11"/>
  <c r="Z54" i="11" s="1"/>
  <c r="K53" i="11"/>
  <c r="J53" i="11"/>
  <c r="Z53" i="11" s="1"/>
  <c r="K45" i="11"/>
  <c r="J45" i="11"/>
  <c r="Z45" i="11" s="1"/>
  <c r="K49" i="11"/>
  <c r="J49" i="11"/>
  <c r="Y49" i="11" s="1"/>
  <c r="K52" i="11"/>
  <c r="J52" i="11"/>
  <c r="Z52" i="11" s="1"/>
  <c r="K50" i="11"/>
  <c r="J50" i="11"/>
  <c r="V50" i="11" s="1"/>
  <c r="K51" i="11"/>
  <c r="J51" i="11"/>
  <c r="K48" i="11"/>
  <c r="J48" i="11"/>
  <c r="Z48" i="11" s="1"/>
  <c r="K47" i="11"/>
  <c r="J47" i="11"/>
  <c r="Z47" i="11" s="1"/>
  <c r="K46" i="11"/>
  <c r="J46" i="11"/>
  <c r="Z46" i="11" s="1"/>
  <c r="K23" i="11"/>
  <c r="J23" i="11"/>
  <c r="Z23" i="11" s="1"/>
  <c r="K22" i="11"/>
  <c r="J22" i="11"/>
  <c r="Z22" i="11" s="1"/>
  <c r="K14" i="11"/>
  <c r="J14" i="11"/>
  <c r="V14" i="11" s="1"/>
  <c r="K18" i="11"/>
  <c r="J18" i="11"/>
  <c r="U18" i="11" s="1"/>
  <c r="K24" i="11"/>
  <c r="J24" i="11"/>
  <c r="U24" i="11" s="1"/>
  <c r="K21" i="11"/>
  <c r="J21" i="11"/>
  <c r="Z21" i="11" s="1"/>
  <c r="K19" i="11"/>
  <c r="J19" i="11"/>
  <c r="Z19" i="11" s="1"/>
  <c r="K20" i="11"/>
  <c r="J20" i="11"/>
  <c r="V20" i="11" s="1"/>
  <c r="K17" i="11"/>
  <c r="J17" i="11"/>
  <c r="Y17" i="11" s="1"/>
  <c r="K15" i="11"/>
  <c r="J15" i="11"/>
  <c r="Z15" i="11" s="1"/>
  <c r="K16" i="11"/>
  <c r="J16" i="11"/>
  <c r="Y16" i="11" s="1"/>
  <c r="K76" i="11"/>
  <c r="J76" i="11"/>
  <c r="Z76" i="11" s="1"/>
  <c r="K75" i="11"/>
  <c r="J75" i="11"/>
  <c r="Z75" i="11" s="1"/>
  <c r="K74" i="11"/>
  <c r="J74" i="11"/>
  <c r="K70" i="11"/>
  <c r="J70" i="11"/>
  <c r="Y70" i="11" s="1"/>
  <c r="K66" i="11"/>
  <c r="J66" i="11"/>
  <c r="Z66" i="11" s="1"/>
  <c r="K77" i="11"/>
  <c r="J77" i="11"/>
  <c r="Z77" i="11" s="1"/>
  <c r="K73" i="11"/>
  <c r="J73" i="11"/>
  <c r="Y73" i="11" s="1"/>
  <c r="K71" i="11"/>
  <c r="J71" i="11"/>
  <c r="Z71" i="11" s="1"/>
  <c r="K72" i="11"/>
  <c r="J72" i="11"/>
  <c r="V72" i="11" s="1"/>
  <c r="K69" i="11"/>
  <c r="J69" i="11"/>
  <c r="Z69" i="11" s="1"/>
  <c r="K67" i="11"/>
  <c r="J67" i="11"/>
  <c r="V67" i="11" s="1"/>
  <c r="K68" i="11"/>
  <c r="J68" i="11"/>
  <c r="Z68" i="11" s="1"/>
  <c r="K106" i="11"/>
  <c r="J106" i="11"/>
  <c r="Z106" i="11" s="1"/>
  <c r="K105" i="11"/>
  <c r="J105" i="11"/>
  <c r="Z105" i="11" s="1"/>
  <c r="K100" i="11"/>
  <c r="J100" i="11"/>
  <c r="K107" i="11"/>
  <c r="J107" i="11"/>
  <c r="V107" i="11" s="1"/>
  <c r="K103" i="11"/>
  <c r="J103" i="11"/>
  <c r="Z103" i="11" s="1"/>
  <c r="K101" i="11"/>
  <c r="J101" i="11"/>
  <c r="Z101" i="11" s="1"/>
  <c r="K102" i="11"/>
  <c r="J102" i="11"/>
  <c r="Y102" i="11" s="1"/>
  <c r="K44" i="11"/>
  <c r="J44" i="11"/>
  <c r="Z44" i="11" s="1"/>
  <c r="K43" i="11"/>
  <c r="J43" i="11"/>
  <c r="V43" i="11" s="1"/>
  <c r="K42" i="11"/>
  <c r="J42" i="11"/>
  <c r="V42" i="11" s="1"/>
  <c r="K37" i="11"/>
  <c r="J37" i="11"/>
  <c r="Z37" i="11" s="1"/>
  <c r="K41" i="11"/>
  <c r="J41" i="11"/>
  <c r="Y41" i="11" s="1"/>
  <c r="K40" i="11"/>
  <c r="J40" i="11"/>
  <c r="Z40" i="11" s="1"/>
  <c r="K39" i="11"/>
  <c r="J39" i="11"/>
  <c r="V39" i="11" s="1"/>
  <c r="K38" i="11"/>
  <c r="J38" i="11"/>
  <c r="Z38" i="11" s="1"/>
  <c r="K12" i="11"/>
  <c r="J12" i="11"/>
  <c r="Z12" i="11" s="1"/>
  <c r="K11" i="11"/>
  <c r="J11" i="11"/>
  <c r="Z11" i="11" s="1"/>
  <c r="K6" i="11"/>
  <c r="J6" i="11"/>
  <c r="K13" i="11"/>
  <c r="J13" i="11"/>
  <c r="Z13" i="11" s="1"/>
  <c r="K10" i="11"/>
  <c r="J10" i="11"/>
  <c r="Z10" i="11" s="1"/>
  <c r="K9" i="11"/>
  <c r="J9" i="11"/>
  <c r="Z9" i="11" s="1"/>
  <c r="K8" i="11"/>
  <c r="J8" i="11"/>
  <c r="V8" i="11" s="1"/>
  <c r="K7" i="11"/>
  <c r="J7" i="11"/>
  <c r="Y7" i="11" s="1"/>
  <c r="K34" i="11"/>
  <c r="J34" i="11"/>
  <c r="Z34" i="11" s="1"/>
  <c r="K35" i="11"/>
  <c r="J35" i="11"/>
  <c r="V35" i="11" s="1"/>
  <c r="K33" i="11"/>
  <c r="J33" i="11"/>
  <c r="Z33" i="11" s="1"/>
  <c r="K25" i="11"/>
  <c r="J25" i="11"/>
  <c r="V25" i="11" s="1"/>
  <c r="K29" i="11"/>
  <c r="J29" i="11"/>
  <c r="Z29" i="11" s="1"/>
  <c r="K36" i="11"/>
  <c r="J36" i="11"/>
  <c r="Z36" i="11" s="1"/>
  <c r="K32" i="11"/>
  <c r="J32" i="11"/>
  <c r="Z32" i="11" s="1"/>
  <c r="K30" i="11"/>
  <c r="J30" i="11"/>
  <c r="Z30" i="11" s="1"/>
  <c r="K31" i="11"/>
  <c r="J31" i="11"/>
  <c r="K28" i="11"/>
  <c r="J28" i="11"/>
  <c r="Y28" i="11" s="1"/>
  <c r="K27" i="11"/>
  <c r="J27" i="11"/>
  <c r="Y27" i="11" s="1"/>
  <c r="K26" i="11"/>
  <c r="J26" i="11"/>
  <c r="Z26" i="11" s="1"/>
  <c r="K64" i="11"/>
  <c r="J64" i="11"/>
  <c r="Z64" i="11" s="1"/>
  <c r="K63" i="11"/>
  <c r="J63" i="11"/>
  <c r="V63" i="11" s="1"/>
  <c r="K62" i="11"/>
  <c r="J62" i="11"/>
  <c r="Y62" i="11" s="1"/>
  <c r="K55" i="11"/>
  <c r="J55" i="11"/>
  <c r="U55" i="11" s="1"/>
  <c r="K65" i="11"/>
  <c r="J65" i="11"/>
  <c r="U65" i="11" s="1"/>
  <c r="K61" i="11"/>
  <c r="J61" i="11"/>
  <c r="V61" i="11" s="1"/>
  <c r="K59" i="11"/>
  <c r="J59" i="11"/>
  <c r="Z59" i="11" s="1"/>
  <c r="K60" i="11"/>
  <c r="J60" i="11"/>
  <c r="V60" i="11" s="1"/>
  <c r="K58" i="11"/>
  <c r="J58" i="11"/>
  <c r="Z58" i="11" s="1"/>
  <c r="K57" i="11"/>
  <c r="J57" i="11"/>
  <c r="V57" i="11" s="1"/>
  <c r="K56" i="11"/>
  <c r="J56" i="11"/>
  <c r="V56" i="11" s="1"/>
  <c r="F13" i="4"/>
  <c r="F12" i="4"/>
  <c r="D43" i="5"/>
  <c r="T94" i="11"/>
  <c r="S94" i="11"/>
  <c r="T83" i="11"/>
  <c r="S83" i="11"/>
  <c r="T71" i="11"/>
  <c r="S71" i="11"/>
  <c r="T50" i="11"/>
  <c r="S50" i="11"/>
  <c r="T41" i="11"/>
  <c r="S41" i="11"/>
  <c r="I99" i="11"/>
  <c r="I98" i="11"/>
  <c r="I88" i="11"/>
  <c r="I87" i="11"/>
  <c r="T30" i="11"/>
  <c r="S30" i="11"/>
  <c r="T93" i="11"/>
  <c r="S93" i="11"/>
  <c r="T82" i="11"/>
  <c r="S82" i="11"/>
  <c r="T49" i="11"/>
  <c r="S49" i="11"/>
  <c r="T18" i="11"/>
  <c r="S18" i="11"/>
  <c r="T70" i="11"/>
  <c r="S70" i="11"/>
  <c r="T29" i="11"/>
  <c r="S29" i="11"/>
  <c r="T19" i="11"/>
  <c r="S19" i="11"/>
  <c r="T10" i="11"/>
  <c r="S10" i="11"/>
  <c r="T59" i="11"/>
  <c r="S59" i="11"/>
  <c r="T92" i="11"/>
  <c r="S92" i="11"/>
  <c r="T81" i="11"/>
  <c r="S81" i="11"/>
  <c r="T48" i="11"/>
  <c r="S48" i="11"/>
  <c r="T17" i="11"/>
  <c r="S17" i="11"/>
  <c r="T69" i="11"/>
  <c r="S69" i="11"/>
  <c r="T103" i="11"/>
  <c r="S103" i="11"/>
  <c r="T40" i="11"/>
  <c r="S40" i="11"/>
  <c r="T9" i="11"/>
  <c r="S9" i="11"/>
  <c r="T28" i="11"/>
  <c r="S28" i="11"/>
  <c r="T58" i="11"/>
  <c r="B4" i="11" a="1"/>
  <c r="B4" i="11" s="1"/>
  <c r="B57" i="11"/>
  <c r="B58" i="11"/>
  <c r="B60" i="11"/>
  <c r="B59" i="11"/>
  <c r="B61" i="11"/>
  <c r="B65" i="11"/>
  <c r="B55" i="11"/>
  <c r="B62" i="11"/>
  <c r="B63" i="11"/>
  <c r="B64" i="11"/>
  <c r="B26" i="11"/>
  <c r="B27" i="11"/>
  <c r="B28" i="11"/>
  <c r="B31" i="11"/>
  <c r="B30" i="11"/>
  <c r="B32" i="11"/>
  <c r="B36" i="11"/>
  <c r="B29" i="11"/>
  <c r="B25" i="11"/>
  <c r="B33" i="11"/>
  <c r="B35" i="11"/>
  <c r="B34" i="11"/>
  <c r="B7" i="11"/>
  <c r="B8" i="11"/>
  <c r="B9" i="11"/>
  <c r="B10" i="11"/>
  <c r="B13" i="11"/>
  <c r="B6" i="11"/>
  <c r="B11" i="11"/>
  <c r="B12" i="11"/>
  <c r="B38" i="11"/>
  <c r="B39" i="11"/>
  <c r="B40" i="11"/>
  <c r="B41" i="11"/>
  <c r="B37" i="11"/>
  <c r="B42" i="11"/>
  <c r="B43" i="11"/>
  <c r="B44" i="11"/>
  <c r="B102" i="11"/>
  <c r="B101" i="11"/>
  <c r="B103" i="11"/>
  <c r="B104" i="11"/>
  <c r="B107" i="11"/>
  <c r="B100" i="11"/>
  <c r="B105" i="11"/>
  <c r="B106" i="11"/>
  <c r="B68" i="11"/>
  <c r="B67" i="11"/>
  <c r="B69" i="11"/>
  <c r="B72" i="11"/>
  <c r="B71" i="11"/>
  <c r="B73" i="11"/>
  <c r="B77" i="11"/>
  <c r="B66" i="11"/>
  <c r="B70" i="11"/>
  <c r="B74" i="11"/>
  <c r="B75" i="11"/>
  <c r="B76" i="11"/>
  <c r="B16" i="11"/>
  <c r="B15" i="11"/>
  <c r="B17" i="11"/>
  <c r="B20" i="11"/>
  <c r="B19" i="11"/>
  <c r="B21" i="11"/>
  <c r="B24" i="11"/>
  <c r="B18" i="11"/>
  <c r="B14" i="11"/>
  <c r="B22" i="11"/>
  <c r="B23" i="11"/>
  <c r="B46" i="11"/>
  <c r="B47" i="11"/>
  <c r="B48" i="11"/>
  <c r="B51" i="11"/>
  <c r="B50" i="11"/>
  <c r="B52" i="11"/>
  <c r="B49" i="11"/>
  <c r="B45" i="11"/>
  <c r="B53" i="11"/>
  <c r="B54" i="11"/>
  <c r="B79" i="11"/>
  <c r="B80" i="11"/>
  <c r="B81" i="11"/>
  <c r="B83" i="11"/>
  <c r="B84" i="11"/>
  <c r="B87" i="11"/>
  <c r="B88" i="11"/>
  <c r="B82" i="11"/>
  <c r="B78" i="11"/>
  <c r="B85" i="11"/>
  <c r="B86" i="11"/>
  <c r="B90" i="11"/>
  <c r="B91" i="11"/>
  <c r="B92" i="11"/>
  <c r="B94" i="11"/>
  <c r="B95" i="11"/>
  <c r="B98" i="11"/>
  <c r="B99" i="11"/>
  <c r="B93" i="11"/>
  <c r="B89" i="11"/>
  <c r="B96" i="11"/>
  <c r="B97" i="11"/>
  <c r="AB70" i="13" l="1"/>
  <c r="AA7" i="13"/>
  <c r="AA14" i="13"/>
  <c r="AA41" i="13"/>
  <c r="AA102" i="13"/>
  <c r="AB21" i="13"/>
  <c r="AA100" i="13"/>
  <c r="AA24" i="13"/>
  <c r="AA108" i="13"/>
  <c r="AA20" i="13"/>
  <c r="AA39" i="13"/>
  <c r="AA47" i="13"/>
  <c r="AA80" i="13"/>
  <c r="AA96" i="13"/>
  <c r="AA91" i="13"/>
  <c r="AB92" i="13"/>
  <c r="AB47" i="13"/>
  <c r="AA48" i="13"/>
  <c r="AA29" i="13"/>
  <c r="AA40" i="13"/>
  <c r="AB51" i="13"/>
  <c r="AA62" i="13"/>
  <c r="AA52" i="13"/>
  <c r="AA70" i="13"/>
  <c r="AA119" i="13"/>
  <c r="AB106" i="13"/>
  <c r="AB36" i="13"/>
  <c r="AB99" i="13"/>
  <c r="AB108" i="13"/>
  <c r="AA82" i="13"/>
  <c r="AA63" i="13"/>
  <c r="AB105" i="13"/>
  <c r="AA88" i="13"/>
  <c r="AA6" i="13"/>
  <c r="AA67" i="13"/>
  <c r="AB81" i="13"/>
  <c r="AB55" i="13"/>
  <c r="AA74" i="13"/>
  <c r="AA22" i="13"/>
  <c r="AA87" i="13"/>
  <c r="AA89" i="13"/>
  <c r="AB40" i="13"/>
  <c r="AA92" i="13"/>
  <c r="AB58" i="13"/>
  <c r="AB38" i="13"/>
  <c r="AA15" i="13"/>
  <c r="AA120" i="13"/>
  <c r="AA93" i="13"/>
  <c r="AB57" i="13"/>
  <c r="AA37" i="13"/>
  <c r="AA8" i="13"/>
  <c r="AB62" i="13"/>
  <c r="AA75" i="13"/>
  <c r="AB22" i="13"/>
  <c r="AA72" i="13"/>
  <c r="AA13" i="13"/>
  <c r="AB29" i="13"/>
  <c r="AA90" i="13"/>
  <c r="AB117" i="13"/>
  <c r="AB78" i="13"/>
  <c r="AB90" i="13"/>
  <c r="AA64" i="13"/>
  <c r="AA10" i="13"/>
  <c r="AA55" i="13"/>
  <c r="AB113" i="13"/>
  <c r="AB85" i="13"/>
  <c r="AA12" i="13"/>
  <c r="AA99" i="13"/>
  <c r="AA105" i="13"/>
  <c r="AB95" i="13"/>
  <c r="AA85" i="13"/>
  <c r="AA104" i="13"/>
  <c r="AA44" i="13"/>
  <c r="AB71" i="13"/>
  <c r="AB27" i="13"/>
  <c r="AA49" i="13"/>
  <c r="AA28" i="13"/>
  <c r="AA113" i="13"/>
  <c r="AA17" i="13"/>
  <c r="AB45" i="13"/>
  <c r="AB19" i="13"/>
  <c r="AA61" i="13"/>
  <c r="AA122" i="13"/>
  <c r="AB93" i="13"/>
  <c r="AB94" i="13"/>
  <c r="AA66" i="13"/>
  <c r="AA19" i="13"/>
  <c r="AA103" i="13"/>
  <c r="AB112" i="13"/>
  <c r="AA101" i="13"/>
  <c r="AA84" i="13"/>
  <c r="AA59" i="13"/>
  <c r="AB111" i="13"/>
  <c r="AB61" i="13"/>
  <c r="AA38" i="13"/>
  <c r="AA30" i="13"/>
  <c r="AB66" i="13"/>
  <c r="AA109" i="13"/>
  <c r="AB73" i="13"/>
  <c r="AB67" i="13"/>
  <c r="AA118" i="13"/>
  <c r="AB50" i="13"/>
  <c r="AB84" i="13"/>
  <c r="AB83" i="13"/>
  <c r="AB72" i="13"/>
  <c r="AB54" i="13"/>
  <c r="AA25" i="13"/>
  <c r="AA69" i="13"/>
  <c r="AA56" i="13"/>
  <c r="AB119" i="13"/>
  <c r="AA116" i="13"/>
  <c r="AA123" i="13"/>
  <c r="AB60" i="13"/>
  <c r="AA18" i="13"/>
  <c r="AA42" i="13"/>
  <c r="AA11" i="13"/>
  <c r="AA111" i="13"/>
  <c r="AA34" i="13"/>
  <c r="AB48" i="13"/>
  <c r="AA53" i="13"/>
  <c r="AA23" i="13"/>
  <c r="AB101" i="13"/>
  <c r="AA77" i="13"/>
  <c r="AA114" i="13"/>
  <c r="AA97" i="13"/>
  <c r="AA78" i="13"/>
  <c r="AB53" i="13"/>
  <c r="AB9" i="13"/>
  <c r="AA16" i="13"/>
  <c r="AB114" i="13"/>
  <c r="AB97" i="13"/>
  <c r="AA57" i="13"/>
  <c r="AB15" i="13"/>
  <c r="AB120" i="13"/>
  <c r="AB91" i="13"/>
  <c r="AB109" i="13"/>
  <c r="AB41" i="13"/>
  <c r="AA79" i="13"/>
  <c r="AA107" i="13"/>
  <c r="AA71" i="13"/>
  <c r="AB110" i="13"/>
  <c r="AA33" i="13"/>
  <c r="AA58" i="13"/>
  <c r="AA31" i="13"/>
  <c r="AA51" i="13"/>
  <c r="AA46" i="13"/>
  <c r="AB13" i="13"/>
  <c r="AA45" i="13"/>
  <c r="AB87" i="13"/>
  <c r="AA60" i="13"/>
  <c r="AB118" i="13"/>
  <c r="AB46" i="13"/>
  <c r="AB82" i="13"/>
  <c r="AA121" i="13"/>
  <c r="AB88" i="13"/>
  <c r="AB35" i="13"/>
  <c r="AA65" i="13"/>
  <c r="AB14" i="13"/>
  <c r="AB122" i="13"/>
  <c r="AB121" i="13"/>
  <c r="AB96" i="13"/>
  <c r="AB115" i="13"/>
  <c r="AB79" i="13"/>
  <c r="AB108" i="11"/>
  <c r="AA108" i="11"/>
  <c r="Z94" i="11"/>
  <c r="W104" i="11"/>
  <c r="X104" i="11"/>
  <c r="U104" i="11"/>
  <c r="V104" i="11"/>
  <c r="Y104" i="11"/>
  <c r="Z51" i="11"/>
  <c r="X94" i="11"/>
  <c r="X95" i="11"/>
  <c r="U95" i="11"/>
  <c r="V94" i="11"/>
  <c r="W95" i="11"/>
  <c r="W94" i="11"/>
  <c r="X83" i="11"/>
  <c r="V95" i="11"/>
  <c r="Y95" i="11"/>
  <c r="Y94" i="11"/>
  <c r="W83" i="11"/>
  <c r="X84" i="11"/>
  <c r="U84" i="11"/>
  <c r="V84" i="11"/>
  <c r="W84" i="11"/>
  <c r="Y84" i="11"/>
  <c r="U83" i="11"/>
  <c r="V83" i="11"/>
  <c r="Y83" i="11"/>
  <c r="X52" i="11"/>
  <c r="Y72" i="11"/>
  <c r="X71" i="11"/>
  <c r="W72" i="11"/>
  <c r="U71" i="11"/>
  <c r="Z72" i="11"/>
  <c r="X72" i="11"/>
  <c r="U73" i="11"/>
  <c r="W71" i="11"/>
  <c r="Z73" i="11"/>
  <c r="X73" i="11"/>
  <c r="V73" i="11"/>
  <c r="W73" i="11"/>
  <c r="V71" i="11"/>
  <c r="U72" i="11"/>
  <c r="Y71" i="11"/>
  <c r="U52" i="11"/>
  <c r="X99" i="11"/>
  <c r="X51" i="11"/>
  <c r="U51" i="11"/>
  <c r="X41" i="11"/>
  <c r="W51" i="11"/>
  <c r="X50" i="11"/>
  <c r="W52" i="11"/>
  <c r="Y50" i="11"/>
  <c r="V51" i="11"/>
  <c r="Z50" i="11"/>
  <c r="V52" i="11"/>
  <c r="Y51" i="11"/>
  <c r="U50" i="11"/>
  <c r="Y52" i="11"/>
  <c r="W50" i="11"/>
  <c r="U41" i="11"/>
  <c r="V41" i="11"/>
  <c r="Z41" i="11"/>
  <c r="W41" i="11"/>
  <c r="X31" i="11"/>
  <c r="X88" i="11"/>
  <c r="W77" i="11"/>
  <c r="X98" i="11"/>
  <c r="X36" i="11"/>
  <c r="X24" i="11"/>
  <c r="W24" i="11"/>
  <c r="X107" i="11"/>
  <c r="V87" i="11"/>
  <c r="X87" i="11"/>
  <c r="Z87" i="11"/>
  <c r="X77" i="11"/>
  <c r="Z24" i="11"/>
  <c r="U77" i="11"/>
  <c r="W99" i="11"/>
  <c r="W88" i="11"/>
  <c r="Z98" i="11"/>
  <c r="U99" i="11"/>
  <c r="V88" i="11"/>
  <c r="Y98" i="11"/>
  <c r="U87" i="11"/>
  <c r="V99" i="11"/>
  <c r="W87" i="11"/>
  <c r="Z88" i="11"/>
  <c r="U98" i="11"/>
  <c r="V98" i="11"/>
  <c r="Y99" i="11"/>
  <c r="Y88" i="11"/>
  <c r="W98" i="11"/>
  <c r="Y107" i="11"/>
  <c r="Z107" i="11"/>
  <c r="V77" i="11"/>
  <c r="U107" i="11"/>
  <c r="Y77" i="11"/>
  <c r="W107" i="11"/>
  <c r="Y24" i="11"/>
  <c r="V24" i="11"/>
  <c r="Z31" i="11"/>
  <c r="X30" i="11"/>
  <c r="V32" i="11"/>
  <c r="W32" i="11"/>
  <c r="U36" i="11"/>
  <c r="W36" i="11"/>
  <c r="V36" i="11"/>
  <c r="Y36" i="11"/>
  <c r="Y31" i="11"/>
  <c r="X32" i="11"/>
  <c r="U32" i="11"/>
  <c r="Y32" i="11"/>
  <c r="U30" i="11"/>
  <c r="V30" i="11"/>
  <c r="W30" i="11"/>
  <c r="Y30" i="11"/>
  <c r="U31" i="11"/>
  <c r="V31" i="11"/>
  <c r="W31" i="11"/>
  <c r="X19" i="11"/>
  <c r="U19" i="11"/>
  <c r="V19" i="11"/>
  <c r="X21" i="11"/>
  <c r="X20" i="11"/>
  <c r="W21" i="11"/>
  <c r="U21" i="11"/>
  <c r="V21" i="11"/>
  <c r="Y21" i="11"/>
  <c r="Z20" i="11"/>
  <c r="W19" i="11"/>
  <c r="U20" i="11"/>
  <c r="Y19" i="11"/>
  <c r="Y20" i="11"/>
  <c r="W20" i="11"/>
  <c r="U10" i="11"/>
  <c r="Z65" i="11"/>
  <c r="W106" i="11"/>
  <c r="W15" i="11"/>
  <c r="X60" i="11"/>
  <c r="Y65" i="11"/>
  <c r="V10" i="11"/>
  <c r="U15" i="11"/>
  <c r="U60" i="11"/>
  <c r="W56" i="11"/>
  <c r="W26" i="11"/>
  <c r="W29" i="11"/>
  <c r="X35" i="11"/>
  <c r="X44" i="11"/>
  <c r="W75" i="11"/>
  <c r="Y15" i="11"/>
  <c r="W13" i="11"/>
  <c r="U13" i="11"/>
  <c r="X10" i="11"/>
  <c r="X13" i="11"/>
  <c r="V13" i="11"/>
  <c r="Y13" i="11"/>
  <c r="W10" i="11"/>
  <c r="Y10" i="11"/>
  <c r="Y60" i="11"/>
  <c r="U59" i="11"/>
  <c r="Y61" i="11"/>
  <c r="Z60" i="11"/>
  <c r="V59" i="11"/>
  <c r="Z61" i="11"/>
  <c r="Y59" i="11"/>
  <c r="W60" i="11"/>
  <c r="W61" i="11"/>
  <c r="V65" i="11"/>
  <c r="X61" i="11"/>
  <c r="W59" i="11"/>
  <c r="U61" i="11"/>
  <c r="X65" i="11"/>
  <c r="V22" i="11"/>
  <c r="X59" i="11"/>
  <c r="W65" i="11"/>
  <c r="V75" i="11"/>
  <c r="V15" i="11"/>
  <c r="W43" i="11"/>
  <c r="X80" i="11"/>
  <c r="W58" i="11"/>
  <c r="X63" i="11"/>
  <c r="X42" i="11"/>
  <c r="X46" i="11"/>
  <c r="X54" i="11"/>
  <c r="Y85" i="11"/>
  <c r="X34" i="11"/>
  <c r="X78" i="11"/>
  <c r="Z90" i="11"/>
  <c r="W97" i="11"/>
  <c r="U85" i="11"/>
  <c r="Y43" i="11"/>
  <c r="U70" i="11"/>
  <c r="W53" i="11"/>
  <c r="Y80" i="11"/>
  <c r="Z80" i="11"/>
  <c r="U56" i="11"/>
  <c r="V58" i="11"/>
  <c r="Y63" i="11"/>
  <c r="V29" i="11"/>
  <c r="Z56" i="11"/>
  <c r="X58" i="11"/>
  <c r="Z63" i="11"/>
  <c r="U54" i="11"/>
  <c r="X6" i="11"/>
  <c r="U22" i="11"/>
  <c r="U49" i="11"/>
  <c r="W64" i="11"/>
  <c r="W8" i="11"/>
  <c r="X11" i="11"/>
  <c r="U37" i="11"/>
  <c r="W103" i="11"/>
  <c r="U105" i="11"/>
  <c r="V68" i="11"/>
  <c r="X66" i="11"/>
  <c r="X76" i="11"/>
  <c r="X45" i="11"/>
  <c r="X79" i="11"/>
  <c r="X81" i="11"/>
  <c r="X48" i="11"/>
  <c r="X68" i="11"/>
  <c r="W92" i="11"/>
  <c r="X64" i="11"/>
  <c r="U11" i="11"/>
  <c r="Y105" i="11"/>
  <c r="U66" i="11"/>
  <c r="X14" i="11"/>
  <c r="V48" i="11"/>
  <c r="W35" i="11"/>
  <c r="W62" i="11"/>
  <c r="U28" i="11"/>
  <c r="V11" i="11"/>
  <c r="X67" i="11"/>
  <c r="Y66" i="11"/>
  <c r="X16" i="11"/>
  <c r="W14" i="11"/>
  <c r="X89" i="11"/>
  <c r="V34" i="11"/>
  <c r="Y11" i="11"/>
  <c r="V103" i="11"/>
  <c r="U80" i="11"/>
  <c r="U81" i="11"/>
  <c r="X105" i="11"/>
  <c r="X29" i="11"/>
  <c r="W34" i="11"/>
  <c r="Z102" i="11"/>
  <c r="X100" i="11"/>
  <c r="U106" i="11"/>
  <c r="U75" i="11"/>
  <c r="X22" i="11"/>
  <c r="V81" i="11"/>
  <c r="X97" i="11"/>
  <c r="X27" i="11"/>
  <c r="W101" i="11"/>
  <c r="X47" i="11"/>
  <c r="X86" i="11"/>
  <c r="X57" i="11"/>
  <c r="X55" i="11"/>
  <c r="U27" i="11"/>
  <c r="X25" i="11"/>
  <c r="W11" i="11"/>
  <c r="U38" i="11"/>
  <c r="W42" i="11"/>
  <c r="Z43" i="11"/>
  <c r="U101" i="11"/>
  <c r="X103" i="11"/>
  <c r="V105" i="11"/>
  <c r="V66" i="11"/>
  <c r="Z70" i="11"/>
  <c r="Y75" i="11"/>
  <c r="W22" i="11"/>
  <c r="U47" i="11"/>
  <c r="Z49" i="11"/>
  <c r="U53" i="11"/>
  <c r="V54" i="11"/>
  <c r="X82" i="11"/>
  <c r="U86" i="11"/>
  <c r="W91" i="11"/>
  <c r="X96" i="11"/>
  <c r="X38" i="11"/>
  <c r="X17" i="11"/>
  <c r="X93" i="11"/>
  <c r="V27" i="11"/>
  <c r="U25" i="11"/>
  <c r="U7" i="11"/>
  <c r="V38" i="11"/>
  <c r="X37" i="11"/>
  <c r="V101" i="11"/>
  <c r="U103" i="11"/>
  <c r="W105" i="11"/>
  <c r="U68" i="11"/>
  <c r="W66" i="11"/>
  <c r="X74" i="11"/>
  <c r="Y22" i="11"/>
  <c r="V47" i="11"/>
  <c r="U48" i="11"/>
  <c r="W45" i="11"/>
  <c r="V53" i="11"/>
  <c r="X85" i="11"/>
  <c r="W86" i="11"/>
  <c r="Y96" i="11"/>
  <c r="U17" i="11"/>
  <c r="U93" i="11"/>
  <c r="Z62" i="11"/>
  <c r="Y64" i="11"/>
  <c r="Z27" i="11"/>
  <c r="Y25" i="11"/>
  <c r="Y35" i="11"/>
  <c r="Z7" i="11"/>
  <c r="X12" i="11"/>
  <c r="X43" i="11"/>
  <c r="Y101" i="11"/>
  <c r="W68" i="11"/>
  <c r="W69" i="11"/>
  <c r="U76" i="11"/>
  <c r="Z17" i="11"/>
  <c r="W23" i="11"/>
  <c r="Y47" i="11"/>
  <c r="X53" i="11"/>
  <c r="U82" i="11"/>
  <c r="V85" i="11"/>
  <c r="V93" i="11"/>
  <c r="X101" i="11"/>
  <c r="W47" i="11"/>
  <c r="Z96" i="11"/>
  <c r="Z25" i="11"/>
  <c r="U12" i="11"/>
  <c r="X39" i="11"/>
  <c r="Y37" i="11"/>
  <c r="U43" i="11"/>
  <c r="X102" i="11"/>
  <c r="X106" i="11"/>
  <c r="X69" i="11"/>
  <c r="X70" i="11"/>
  <c r="X75" i="11"/>
  <c r="W76" i="11"/>
  <c r="X15" i="11"/>
  <c r="X49" i="11"/>
  <c r="Y45" i="11"/>
  <c r="Y53" i="11"/>
  <c r="Z82" i="11"/>
  <c r="W85" i="11"/>
  <c r="U90" i="11"/>
  <c r="W93" i="11"/>
  <c r="V7" i="11"/>
  <c r="W38" i="11"/>
  <c r="X28" i="11"/>
  <c r="X33" i="11"/>
  <c r="W12" i="11"/>
  <c r="X18" i="11"/>
  <c r="W78" i="11"/>
  <c r="V90" i="11"/>
  <c r="Y93" i="11"/>
  <c r="W89" i="11"/>
  <c r="U96" i="11"/>
  <c r="Y89" i="11"/>
  <c r="W96" i="11"/>
  <c r="U97" i="11"/>
  <c r="Z89" i="11"/>
  <c r="V97" i="11"/>
  <c r="U89" i="11"/>
  <c r="Y97" i="11"/>
  <c r="X91" i="11"/>
  <c r="Y91" i="11"/>
  <c r="U92" i="11"/>
  <c r="Z91" i="11"/>
  <c r="V92" i="11"/>
  <c r="Y92" i="11"/>
  <c r="X92" i="11"/>
  <c r="U91" i="11"/>
  <c r="X90" i="11"/>
  <c r="W90" i="11"/>
  <c r="Y78" i="11"/>
  <c r="Z78" i="11"/>
  <c r="V86" i="11"/>
  <c r="V82" i="11"/>
  <c r="W82" i="11"/>
  <c r="U78" i="11"/>
  <c r="Y86" i="11"/>
  <c r="V78" i="11"/>
  <c r="U79" i="11"/>
  <c r="W81" i="11"/>
  <c r="V79" i="11"/>
  <c r="W79" i="11"/>
  <c r="Y81" i="11"/>
  <c r="Y79" i="11"/>
  <c r="W80" i="11"/>
  <c r="W54" i="11"/>
  <c r="V49" i="11"/>
  <c r="W49" i="11"/>
  <c r="U45" i="11"/>
  <c r="Y54" i="11"/>
  <c r="V45" i="11"/>
  <c r="AB45" i="11" s="1"/>
  <c r="U46" i="11"/>
  <c r="W48" i="11"/>
  <c r="V46" i="11"/>
  <c r="W46" i="11"/>
  <c r="Y48" i="11"/>
  <c r="Y46" i="11"/>
  <c r="Z18" i="11"/>
  <c r="Y14" i="11"/>
  <c r="U23" i="11"/>
  <c r="Z14" i="11"/>
  <c r="V23" i="11"/>
  <c r="Y18" i="11"/>
  <c r="V18" i="11"/>
  <c r="X23" i="11"/>
  <c r="W18" i="11"/>
  <c r="U14" i="11"/>
  <c r="Y23" i="11"/>
  <c r="V17" i="11"/>
  <c r="U16" i="11"/>
  <c r="W17" i="11"/>
  <c r="Z16" i="11"/>
  <c r="V16" i="11"/>
  <c r="W16" i="11"/>
  <c r="Y74" i="11"/>
  <c r="Z74" i="11"/>
  <c r="V76" i="11"/>
  <c r="V70" i="11"/>
  <c r="W70" i="11"/>
  <c r="U74" i="11"/>
  <c r="Y76" i="11"/>
  <c r="V74" i="11"/>
  <c r="W74" i="11"/>
  <c r="Y67" i="11"/>
  <c r="U69" i="11"/>
  <c r="Z67" i="11"/>
  <c r="V69" i="11"/>
  <c r="U67" i="11"/>
  <c r="Y69" i="11"/>
  <c r="Y68" i="11"/>
  <c r="W67" i="11"/>
  <c r="Y100" i="11"/>
  <c r="Z100" i="11"/>
  <c r="V106" i="11"/>
  <c r="U100" i="11"/>
  <c r="Y106" i="11"/>
  <c r="V100" i="11"/>
  <c r="W100" i="11"/>
  <c r="U102" i="11"/>
  <c r="V102" i="11"/>
  <c r="W102" i="11"/>
  <c r="Y103" i="11"/>
  <c r="Y42" i="11"/>
  <c r="U44" i="11"/>
  <c r="Z42" i="11"/>
  <c r="V44" i="11"/>
  <c r="W44" i="11"/>
  <c r="V37" i="11"/>
  <c r="W37" i="11"/>
  <c r="U42" i="11"/>
  <c r="Y44" i="11"/>
  <c r="X40" i="11"/>
  <c r="Y39" i="11"/>
  <c r="U40" i="11"/>
  <c r="Z39" i="11"/>
  <c r="V40" i="11"/>
  <c r="Y40" i="11"/>
  <c r="W40" i="11"/>
  <c r="U39" i="11"/>
  <c r="Y38" i="11"/>
  <c r="W39" i="11"/>
  <c r="Y6" i="11"/>
  <c r="Z6" i="11"/>
  <c r="V12" i="11"/>
  <c r="U6" i="11"/>
  <c r="Y12" i="11"/>
  <c r="V6" i="11"/>
  <c r="W6" i="11"/>
  <c r="X8" i="11"/>
  <c r="Y8" i="11"/>
  <c r="U9" i="11"/>
  <c r="Z8" i="11"/>
  <c r="V9" i="11"/>
  <c r="W9" i="11"/>
  <c r="X9" i="11"/>
  <c r="W7" i="11"/>
  <c r="U8" i="11"/>
  <c r="Y9" i="11"/>
  <c r="X7" i="11"/>
  <c r="U29" i="11"/>
  <c r="Y33" i="11"/>
  <c r="U34" i="11"/>
  <c r="Z35" i="11"/>
  <c r="Y29" i="11"/>
  <c r="W25" i="11"/>
  <c r="U33" i="11"/>
  <c r="Y34" i="11"/>
  <c r="V33" i="11"/>
  <c r="W33" i="11"/>
  <c r="U35" i="11"/>
  <c r="V28" i="11"/>
  <c r="U26" i="11"/>
  <c r="W28" i="11"/>
  <c r="AA28" i="11" s="1"/>
  <c r="V26" i="11"/>
  <c r="X26" i="11"/>
  <c r="Z28" i="11"/>
  <c r="Y26" i="11"/>
  <c r="W27" i="11"/>
  <c r="V55" i="11"/>
  <c r="W55" i="11"/>
  <c r="V62" i="11"/>
  <c r="U63" i="11"/>
  <c r="U64" i="11"/>
  <c r="Y55" i="11"/>
  <c r="X62" i="11"/>
  <c r="W63" i="11"/>
  <c r="V64" i="11"/>
  <c r="U62" i="11"/>
  <c r="AA62" i="11" s="1"/>
  <c r="Z55" i="11"/>
  <c r="Y56" i="11"/>
  <c r="U58" i="11"/>
  <c r="X56" i="11"/>
  <c r="W57" i="11"/>
  <c r="Y57" i="11"/>
  <c r="Z57" i="11"/>
  <c r="Y58" i="11"/>
  <c r="U57" i="11"/>
  <c r="I97" i="11"/>
  <c r="I96" i="11"/>
  <c r="I89" i="11"/>
  <c r="I93" i="11"/>
  <c r="I95" i="11"/>
  <c r="I94" i="11"/>
  <c r="I92" i="11"/>
  <c r="I91" i="11"/>
  <c r="I90" i="11"/>
  <c r="I86" i="11"/>
  <c r="I85" i="11"/>
  <c r="I78" i="11"/>
  <c r="I82" i="11"/>
  <c r="I84" i="11"/>
  <c r="I83" i="11"/>
  <c r="I81" i="11"/>
  <c r="I80" i="11"/>
  <c r="I79" i="11"/>
  <c r="I54" i="11"/>
  <c r="I53" i="11"/>
  <c r="I45" i="11"/>
  <c r="I49" i="11"/>
  <c r="I52" i="11"/>
  <c r="I50" i="11"/>
  <c r="I51" i="11"/>
  <c r="I48" i="11"/>
  <c r="I47" i="11"/>
  <c r="I46" i="11"/>
  <c r="I23" i="11"/>
  <c r="I22" i="11"/>
  <c r="I14" i="11"/>
  <c r="I18" i="11"/>
  <c r="I24" i="11"/>
  <c r="I21" i="11"/>
  <c r="I19" i="11"/>
  <c r="I20" i="11"/>
  <c r="I17" i="11"/>
  <c r="I15" i="11"/>
  <c r="I16" i="11"/>
  <c r="I76" i="11"/>
  <c r="I75" i="11"/>
  <c r="I74" i="11"/>
  <c r="I70" i="11"/>
  <c r="I66" i="11"/>
  <c r="I77" i="11"/>
  <c r="I73" i="11"/>
  <c r="I71" i="11"/>
  <c r="I72" i="11"/>
  <c r="I69" i="11"/>
  <c r="I67" i="11"/>
  <c r="I68" i="11"/>
  <c r="I106" i="11"/>
  <c r="I105" i="11"/>
  <c r="I100" i="11"/>
  <c r="I107" i="11"/>
  <c r="I104" i="11"/>
  <c r="I103" i="11"/>
  <c r="I101" i="11"/>
  <c r="I102" i="11"/>
  <c r="I44" i="11"/>
  <c r="I43" i="11"/>
  <c r="I42" i="11"/>
  <c r="I37" i="11"/>
  <c r="I41" i="11"/>
  <c r="I40" i="11"/>
  <c r="I39" i="11"/>
  <c r="I38" i="11"/>
  <c r="I12" i="11"/>
  <c r="I11" i="11"/>
  <c r="I6" i="11"/>
  <c r="I13" i="11"/>
  <c r="I10" i="11"/>
  <c r="I9" i="11"/>
  <c r="I8" i="11"/>
  <c r="I7" i="11"/>
  <c r="I34" i="11"/>
  <c r="I35" i="11"/>
  <c r="I33" i="11"/>
  <c r="I25" i="11"/>
  <c r="I29" i="11"/>
  <c r="I36" i="11"/>
  <c r="I32" i="11"/>
  <c r="I30" i="11"/>
  <c r="I31" i="11"/>
  <c r="I28" i="11"/>
  <c r="I27" i="11"/>
  <c r="I26" i="11"/>
  <c r="I64" i="11"/>
  <c r="I63" i="11"/>
  <c r="I62" i="11"/>
  <c r="I55" i="11"/>
  <c r="I65" i="11"/>
  <c r="I61" i="11"/>
  <c r="I59" i="11"/>
  <c r="I60" i="11"/>
  <c r="I58" i="11"/>
  <c r="I57" i="11"/>
  <c r="I56" i="11"/>
  <c r="B56" i="11"/>
  <c r="AB105" i="11" l="1"/>
  <c r="AB99" i="11"/>
  <c r="AB48" i="11"/>
  <c r="AB69" i="11"/>
  <c r="AB93" i="11"/>
  <c r="AB72" i="11"/>
  <c r="AB95" i="11"/>
  <c r="AA104" i="11"/>
  <c r="AB94" i="11"/>
  <c r="AB104" i="11"/>
  <c r="AA95" i="11"/>
  <c r="AB84" i="11"/>
  <c r="AA72" i="11"/>
  <c r="AA94" i="11"/>
  <c r="AB83" i="11"/>
  <c r="AB71" i="11"/>
  <c r="AB51" i="11"/>
  <c r="AB52" i="11"/>
  <c r="AA84" i="11"/>
  <c r="AA71" i="11"/>
  <c r="AA83" i="11"/>
  <c r="AA51" i="11"/>
  <c r="AA73" i="11"/>
  <c r="AA52" i="11"/>
  <c r="AB73" i="11"/>
  <c r="AB50" i="11"/>
  <c r="AA50" i="11"/>
  <c r="AB32" i="11"/>
  <c r="AB77" i="11"/>
  <c r="AB87" i="11"/>
  <c r="AB41" i="11"/>
  <c r="AA41" i="11"/>
  <c r="AB107" i="11"/>
  <c r="AA87" i="11"/>
  <c r="AB36" i="11"/>
  <c r="AA24" i="11"/>
  <c r="AA77" i="11"/>
  <c r="AB98" i="11"/>
  <c r="AB30" i="11"/>
  <c r="AB88" i="11"/>
  <c r="AA32" i="11"/>
  <c r="AB31" i="11"/>
  <c r="AA88" i="11"/>
  <c r="AA36" i="11"/>
  <c r="AB24" i="11"/>
  <c r="AA107" i="11"/>
  <c r="AA98" i="11"/>
  <c r="AA99" i="11"/>
  <c r="AA30" i="11"/>
  <c r="AA31" i="11"/>
  <c r="AB20" i="11"/>
  <c r="AA19" i="11"/>
  <c r="AB19" i="11"/>
  <c r="AB60" i="11"/>
  <c r="AB21" i="11"/>
  <c r="AB35" i="11"/>
  <c r="AB10" i="11"/>
  <c r="AA21" i="11"/>
  <c r="AB76" i="11"/>
  <c r="AA20" i="11"/>
  <c r="AA15" i="11"/>
  <c r="AB63" i="11"/>
  <c r="AA60" i="11"/>
  <c r="AA13" i="11"/>
  <c r="AB65" i="11"/>
  <c r="AA10" i="11"/>
  <c r="AB56" i="11"/>
  <c r="AB37" i="11"/>
  <c r="AB53" i="11"/>
  <c r="AB22" i="11"/>
  <c r="AA61" i="11"/>
  <c r="AB61" i="11"/>
  <c r="AA56" i="11"/>
  <c r="AB44" i="11"/>
  <c r="AB13" i="11"/>
  <c r="AA65" i="11"/>
  <c r="AB89" i="11"/>
  <c r="AB59" i="11"/>
  <c r="AA59" i="11"/>
  <c r="AA49" i="11"/>
  <c r="AB64" i="11"/>
  <c r="AB75" i="11"/>
  <c r="AB46" i="11"/>
  <c r="AB66" i="11"/>
  <c r="AB29" i="11"/>
  <c r="AB80" i="11"/>
  <c r="AB54" i="11"/>
  <c r="AA17" i="11"/>
  <c r="AB68" i="11"/>
  <c r="AB33" i="11"/>
  <c r="AA29" i="11"/>
  <c r="AB12" i="11"/>
  <c r="AA43" i="11"/>
  <c r="AB58" i="11"/>
  <c r="AA82" i="11"/>
  <c r="AB15" i="11"/>
  <c r="AB42" i="11"/>
  <c r="AA57" i="11"/>
  <c r="AB86" i="11"/>
  <c r="AB43" i="11"/>
  <c r="AA106" i="11"/>
  <c r="AA85" i="11"/>
  <c r="AB34" i="11"/>
  <c r="AA70" i="11"/>
  <c r="AB14" i="11"/>
  <c r="AB101" i="11"/>
  <c r="AA76" i="11"/>
  <c r="AB103" i="11"/>
  <c r="AA66" i="11"/>
  <c r="AA64" i="11"/>
  <c r="AA80" i="11"/>
  <c r="AA86" i="11"/>
  <c r="AB85" i="11"/>
  <c r="AB27" i="11"/>
  <c r="AB81" i="11"/>
  <c r="AA55" i="11"/>
  <c r="AB11" i="11"/>
  <c r="AA53" i="11"/>
  <c r="AA81" i="11"/>
  <c r="AB79" i="11"/>
  <c r="AA22" i="11"/>
  <c r="AA75" i="11"/>
  <c r="AB106" i="11"/>
  <c r="AB67" i="11"/>
  <c r="AA12" i="11"/>
  <c r="AA18" i="11"/>
  <c r="AA90" i="11"/>
  <c r="AB96" i="11"/>
  <c r="AA11" i="11"/>
  <c r="AA78" i="11"/>
  <c r="AB91" i="11"/>
  <c r="AA25" i="11"/>
  <c r="AB25" i="11"/>
  <c r="AB70" i="11"/>
  <c r="AB97" i="11"/>
  <c r="AB57" i="11"/>
  <c r="AB8" i="11"/>
  <c r="AB90" i="11"/>
  <c r="AA105" i="11"/>
  <c r="AA27" i="11"/>
  <c r="AB100" i="11"/>
  <c r="AA93" i="11"/>
  <c r="AB47" i="11"/>
  <c r="AA34" i="11"/>
  <c r="AB6" i="11"/>
  <c r="AA14" i="11"/>
  <c r="AA38" i="11"/>
  <c r="AA35" i="11"/>
  <c r="AA7" i="11"/>
  <c r="AA39" i="11"/>
  <c r="AA101" i="11"/>
  <c r="AB18" i="11"/>
  <c r="AA68" i="11"/>
  <c r="AA91" i="11"/>
  <c r="AB26" i="11"/>
  <c r="AB9" i="11"/>
  <c r="AB23" i="11"/>
  <c r="AB82" i="11"/>
  <c r="AB40" i="11"/>
  <c r="AA37" i="11"/>
  <c r="AA100" i="11"/>
  <c r="AB55" i="11"/>
  <c r="AA9" i="11"/>
  <c r="AA23" i="11"/>
  <c r="AA48" i="11"/>
  <c r="AB49" i="11"/>
  <c r="AB92" i="11"/>
  <c r="AA47" i="11"/>
  <c r="AB62" i="11"/>
  <c r="AB17" i="11"/>
  <c r="AA45" i="11"/>
  <c r="AA96" i="11"/>
  <c r="AA103" i="11"/>
  <c r="AB74" i="11"/>
  <c r="AA26" i="11"/>
  <c r="AB7" i="11"/>
  <c r="AB39" i="11"/>
  <c r="AA40" i="11"/>
  <c r="AB102" i="11"/>
  <c r="AA74" i="11"/>
  <c r="AA54" i="11"/>
  <c r="AB38" i="11"/>
  <c r="AA89" i="11"/>
  <c r="AA97" i="11"/>
  <c r="AA92" i="11"/>
  <c r="AB78" i="11"/>
  <c r="AA79" i="11"/>
  <c r="AA46" i="11"/>
  <c r="AB16" i="11"/>
  <c r="AA16" i="11"/>
  <c r="AA67" i="11"/>
  <c r="AA69" i="11"/>
  <c r="AA102" i="11"/>
  <c r="AA42" i="11"/>
  <c r="AA44" i="11"/>
  <c r="AA6" i="11"/>
  <c r="AA8" i="11"/>
  <c r="AA33" i="11"/>
  <c r="AB28" i="11"/>
  <c r="AA63" i="11"/>
  <c r="AA58" i="11"/>
  <c r="M21" i="2"/>
  <c r="D119" i="5"/>
  <c r="B121" i="5" l="1"/>
  <c r="B123" i="5"/>
  <c r="D5" i="5"/>
  <c r="D6" i="5" s="1"/>
  <c r="H14" i="2" s="1"/>
  <c r="D4" i="5"/>
  <c r="D44" i="5"/>
  <c r="D45" i="5" s="1"/>
  <c r="D20" i="5"/>
  <c r="D7" i="5"/>
  <c r="D8" i="5" s="1"/>
  <c r="B122" i="5"/>
  <c r="D10" i="5" l="1"/>
  <c r="D9" i="5"/>
  <c r="D23" i="5" s="1"/>
  <c r="D11" i="5"/>
  <c r="F3" i="12" a="1"/>
  <c r="F3" i="12" s="1"/>
  <c r="D25" i="5" l="1"/>
  <c r="H34" i="2"/>
  <c r="D14" i="5"/>
  <c r="D15" i="5" s="1"/>
  <c r="H28" i="2" s="1"/>
  <c r="D19" i="5"/>
  <c r="H29" i="2" s="1"/>
  <c r="D18" i="5" l="1"/>
  <c r="D21" i="5"/>
  <c r="D56" i="5" s="1"/>
  <c r="D59" i="5"/>
  <c r="D35" i="5" l="1"/>
  <c r="C121" i="5" s="1"/>
  <c r="D85" i="5"/>
  <c r="D55" i="5"/>
  <c r="D58" i="5"/>
  <c r="D57" i="5"/>
  <c r="D26" i="5"/>
  <c r="D60" i="5"/>
  <c r="D90" i="5" s="1"/>
  <c r="D36" i="5"/>
  <c r="C123" i="5" s="1"/>
  <c r="D51" i="5"/>
  <c r="D50" i="5"/>
  <c r="D63" i="5" l="1"/>
  <c r="D62" i="5" s="1"/>
  <c r="D61" i="5" s="1"/>
  <c r="D84" i="5"/>
  <c r="D83" i="5"/>
  <c r="D67" i="5"/>
  <c r="D78" i="5"/>
  <c r="D95" i="5"/>
  <c r="D71" i="5"/>
  <c r="D69" i="5" l="1"/>
  <c r="D76" i="5"/>
  <c r="D94" i="5"/>
  <c r="D89" i="5"/>
  <c r="D121" i="5" s="1"/>
  <c r="D86" i="5" l="1"/>
  <c r="D103" i="5"/>
  <c r="D123" i="5"/>
  <c r="D102" i="5"/>
  <c r="D70" i="5" l="1"/>
  <c r="D72" i="5" s="1"/>
  <c r="D49" i="5"/>
  <c r="D52" i="5" s="1"/>
  <c r="D34" i="5"/>
  <c r="D73" i="5" l="1"/>
  <c r="C122" i="5"/>
  <c r="C125" i="5" s="1"/>
  <c r="D37" i="5"/>
  <c r="D77" i="5"/>
  <c r="D79" i="5" s="1"/>
  <c r="D66" i="5"/>
  <c r="D113" i="5" s="1"/>
  <c r="R12" i="2" s="1"/>
  <c r="D88" i="5"/>
  <c r="D93" i="5"/>
  <c r="D96" i="5" s="1"/>
  <c r="D98" i="5" s="1"/>
  <c r="D91" i="5" l="1"/>
  <c r="D122" i="5"/>
  <c r="D125" i="5" s="1"/>
  <c r="D65" i="5"/>
  <c r="E113" i="5" s="1"/>
  <c r="D101" i="5"/>
  <c r="D104" i="5" s="1"/>
  <c r="D106" i="5" s="1"/>
  <c r="Y29" i="2" s="1"/>
  <c r="D97" i="5"/>
  <c r="D99" i="5"/>
  <c r="D80" i="5"/>
  <c r="D81" i="5" s="1"/>
  <c r="Z14" i="2" s="1"/>
  <c r="P14" i="2" l="1"/>
  <c r="W12" i="2"/>
  <c r="B124" i="5"/>
  <c r="D115" i="5"/>
  <c r="V16" i="2" s="1"/>
  <c r="D114" i="5"/>
  <c r="V14" i="2" s="1"/>
  <c r="D105" i="5"/>
  <c r="D107" i="5"/>
  <c r="Y36" i="2" s="1"/>
  <c r="D74" i="5"/>
  <c r="E114" i="5" s="1"/>
  <c r="AC14" i="2" s="1"/>
  <c r="E115" i="5" l="1"/>
  <c r="AD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Kasia Boyd</author>
  </authors>
  <commentList>
    <comment ref="H42" authorId="0" shapeId="0" xr:uid="{6B178DAC-626C-47DC-9215-886365ECE738}">
      <text>
        <r>
          <rPr>
            <b/>
            <sz val="9"/>
            <color indexed="81"/>
            <rFont val="Tahoma"/>
            <family val="2"/>
          </rPr>
          <t xml:space="preserve">Note
</t>
        </r>
        <r>
          <rPr>
            <sz val="9"/>
            <color indexed="81"/>
            <rFont val="Tahoma"/>
            <family val="2"/>
          </rPr>
          <t>District energy costs vary widely, so it is strongly recommended to enter a user-defined district heating rate. Review your district energy utility bill or contact your provider to obtain this rate.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tc={1232B826-0F0B-426A-B602-335C4B26865D}</author>
  </authors>
  <commentList>
    <comment ref="C7" authorId="0" shapeId="0" xr:uid="{1232B826-0F0B-426A-B602-335C4B26865D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Revise to ft2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<sst xmlns="http://schemas.openxmlformats.org/spreadsheetml/2006/main" count="1062" uniqueCount="302">
  <si>
    <t>Retrofit Measure:</t>
  </si>
  <si>
    <t>Building Type:</t>
  </si>
  <si>
    <t>Area:</t>
  </si>
  <si>
    <t>ft2</t>
  </si>
  <si>
    <t>Natural Gas Use:</t>
  </si>
  <si>
    <t>m3</t>
  </si>
  <si>
    <t>Electricity Use:</t>
  </si>
  <si>
    <t>kWh</t>
  </si>
  <si>
    <t>Natural Gas Rate:</t>
  </si>
  <si>
    <t>$/m3</t>
  </si>
  <si>
    <t>Electricity Rate:</t>
  </si>
  <si>
    <t>$/kWh</t>
  </si>
  <si>
    <t>Tool Calc Sheet</t>
  </si>
  <si>
    <t>Metric</t>
  </si>
  <si>
    <t>Unit</t>
  </si>
  <si>
    <t>Notes</t>
  </si>
  <si>
    <t>Retrofit Measure</t>
  </si>
  <si>
    <t>Text</t>
  </si>
  <si>
    <t>Pull from front end</t>
  </si>
  <si>
    <t>Building Type</t>
  </si>
  <si>
    <t>Area</t>
  </si>
  <si>
    <t>m2</t>
  </si>
  <si>
    <t>Natural Gas Use Intensity/m2</t>
  </si>
  <si>
    <t>Electricity Use Intensity/m2</t>
  </si>
  <si>
    <t>Total Energy Use Intensity/m2</t>
  </si>
  <si>
    <t>Existing Building Values</t>
  </si>
  <si>
    <t>Existing NG Use Default</t>
  </si>
  <si>
    <t>Existing NG Use User Input</t>
  </si>
  <si>
    <t>Formula - Converts to kWh</t>
  </si>
  <si>
    <t>Natural Gas Use</t>
  </si>
  <si>
    <t>Existing Electricity Use Default</t>
  </si>
  <si>
    <t>Existing Electricity Use User Input</t>
  </si>
  <si>
    <t>Electricity Use</t>
  </si>
  <si>
    <t>Existing Total Energy Use</t>
  </si>
  <si>
    <t>Formula elec use kWh + NG use kWh</t>
  </si>
  <si>
    <t>NG Emission Rate</t>
  </si>
  <si>
    <t>kg CO2e/m3</t>
  </si>
  <si>
    <t>Table 1.2 used for Ontario, Marketable - https://www.canada.ca/en/environment-climate-change/services/climate-change/pricing-pollution-how-it-will-work/output-based-pricing-system/federal-greenhouse-gas-offset-system/emission-factors-reference-values.html#fn3</t>
  </si>
  <si>
    <t>kg CO2e/kWh</t>
  </si>
  <si>
    <t>Electricity Emission Rate</t>
  </si>
  <si>
    <t>Table 5.2 used for Ontario - https://www.canada.ca/en/environment-climate-change/services/climate-change/pricing-pollution-how-it-will-work/output-based-pricing-system/federal-greenhouse-gas-offset-system/emission-factors-reference-values.html#toc8</t>
  </si>
  <si>
    <t>Existing NG Emissions (kg CO2e)</t>
  </si>
  <si>
    <t>kg CO2e</t>
  </si>
  <si>
    <t>Existing Electricity Emissions (kg CO2e)</t>
  </si>
  <si>
    <t>Existing Total Emissions (kg CO2e)</t>
  </si>
  <si>
    <t>Existing NG Rate Default</t>
  </si>
  <si>
    <t>Existing NG Rate User Input</t>
  </si>
  <si>
    <t>Existing NG Rate</t>
  </si>
  <si>
    <t>Existing Electricity Rate Default</t>
  </si>
  <si>
    <t>Existing Electricity Rate User Input</t>
  </si>
  <si>
    <t>Existing Electricity Rate</t>
  </si>
  <si>
    <t>Exsiting Natural Gas Cost</t>
  </si>
  <si>
    <t>$</t>
  </si>
  <si>
    <t>Existing Electricity Cost</t>
  </si>
  <si>
    <t>Existing Total Energy Costs</t>
  </si>
  <si>
    <t>%</t>
  </si>
  <si>
    <t>TBD</t>
  </si>
  <si>
    <t>Chart Values</t>
  </si>
  <si>
    <t>Selectric Metric</t>
  </si>
  <si>
    <t>Total Value</t>
  </si>
  <si>
    <t>Condominium</t>
  </si>
  <si>
    <t>Gas m3 To kWh Calculator: Gas Cubic Meter To kWh Conversion + Chart - LearnMetrics</t>
  </si>
  <si>
    <t>Max based on https://www.oeb.ca/consumer-information-and-protection/natural-gas-rates</t>
  </si>
  <si>
    <t>Average based on https://www.oeb.ca/consumer-information-and-protection/electricity-rates</t>
  </si>
  <si>
    <t xml:space="preserve">GHGI Lower </t>
  </si>
  <si>
    <t>GHGI Upper</t>
  </si>
  <si>
    <t>Total Energy Savings Lower (%)</t>
  </si>
  <si>
    <t>Total Energy Savings Upper (%)</t>
  </si>
  <si>
    <t>Proposed NG Emissions Lower (kg CO2e)</t>
  </si>
  <si>
    <t>Proposed Electricity Emissions Lower (kg CO2e)</t>
  </si>
  <si>
    <t>Proposed Total Emissions Lower (kg CO2e)</t>
  </si>
  <si>
    <t>Proposed NG Emissions Upper (kg CO2e)</t>
  </si>
  <si>
    <t>Proposed Electricity Emissions Upper (kg CO2e)</t>
  </si>
  <si>
    <t>Proposed Total Emissions Upper (kg CO2e)</t>
  </si>
  <si>
    <t>Emissions NG Savings Lower (kg CO2e)</t>
  </si>
  <si>
    <t>Emissions Electricity Savings Lower (kg CO2e)</t>
  </si>
  <si>
    <t>Emissions Total Savings Lower (kg CO2e)</t>
  </si>
  <si>
    <t>Emissions Total Savings Lower (%)</t>
  </si>
  <si>
    <t>Emissions NG Savings Upper (kg CO2e)</t>
  </si>
  <si>
    <t>Emissions Electricity Savings Upper (kg CO2e)</t>
  </si>
  <si>
    <t>Emissions Total Savings Upper (kg CO2e)</t>
  </si>
  <si>
    <t>Emissions Total Savings Upper (%)</t>
  </si>
  <si>
    <t>Existing Building</t>
  </si>
  <si>
    <t>Building with NZC Retrofit Measure</t>
  </si>
  <si>
    <t>Chart View:</t>
  </si>
  <si>
    <t>Net Zero Building Retrofit Guides</t>
  </si>
  <si>
    <t>Existing Building EUI Database</t>
  </si>
  <si>
    <t xml:space="preserve">Source: </t>
  </si>
  <si>
    <r>
      <rPr>
        <b/>
        <sz val="18"/>
        <color rgb="FF015A84"/>
        <rFont val="Avenir Next LT Pro"/>
        <family val="2"/>
      </rPr>
      <t>❸</t>
    </r>
    <r>
      <rPr>
        <b/>
        <sz val="12"/>
        <color rgb="FF015A84"/>
        <rFont val="Avenir Next LT Pro"/>
        <family val="2"/>
      </rPr>
      <t xml:space="preserve"> </t>
    </r>
    <r>
      <rPr>
        <b/>
        <sz val="11"/>
        <color rgb="FF015A84"/>
        <rFont val="Avenir Next LT Pro"/>
        <family val="2"/>
      </rPr>
      <t>Input your building energy data</t>
    </r>
  </si>
  <si>
    <t>You'll see a reduction of</t>
  </si>
  <si>
    <t xml:space="preserve">per year, saving </t>
  </si>
  <si>
    <t>Energy Savings:</t>
  </si>
  <si>
    <t>Educational Facility</t>
  </si>
  <si>
    <t>Big Box Store</t>
  </si>
  <si>
    <t>Strip Mall</t>
  </si>
  <si>
    <t>Default Value:</t>
  </si>
  <si>
    <t xml:space="preserve">Enter your building energy use (if known). If energy use is not known, the following default values will be used based on the building characteristics inputted: 
</t>
  </si>
  <si>
    <t>Retrofit Data</t>
  </si>
  <si>
    <t>Code</t>
  </si>
  <si>
    <t>Total EUI - Lower</t>
  </si>
  <si>
    <t>Total - EUI - Upper</t>
  </si>
  <si>
    <t>GHGI Average</t>
  </si>
  <si>
    <t>Building Envelope - High Performance Glazing with Enhanced Air Sealing</t>
  </si>
  <si>
    <t>Mid Rise Office</t>
  </si>
  <si>
    <t>Building Envelope - High Performance Glazing, Wall Insulation, &amp; Roof Insulation</t>
  </si>
  <si>
    <t>Domestic Hot Water - Heat Pump and Electric Resistance Water Heaters</t>
  </si>
  <si>
    <t>Heating &amp; Cooling Systems - Air Source Heat Pumps</t>
  </si>
  <si>
    <t>Heating &amp; Cooling Systems - Ground Source Heat Pumps</t>
  </si>
  <si>
    <t>Ventilation Systems - Energy Recovery Ventilator (ERV)</t>
  </si>
  <si>
    <t>Appliance Upgrades</t>
  </si>
  <si>
    <t>Lighting and Lighting Controls</t>
  </si>
  <si>
    <t>Renewables - Solar PV</t>
  </si>
  <si>
    <t>Renewables - Solar Thermal</t>
  </si>
  <si>
    <t>Ventilation Systems - Energy Recovery Ventilators (ERV), Electric Humidifiers</t>
  </si>
  <si>
    <t>Gas Appliances - Electric and Induction Ranges</t>
  </si>
  <si>
    <t>Domestic Hot Water - Electric Water Heater</t>
  </si>
  <si>
    <t>Heating &amp; Cooling System - Rooftop Air Source Heat Pumps with Backup Electric Heat</t>
  </si>
  <si>
    <t>Low Rise Office</t>
  </si>
  <si>
    <t>Heating, Cooling, Ventilation Systems - Rooftop Air Source Heat Pump with Electric Baseboard</t>
  </si>
  <si>
    <t xml:space="preserve">Building Envelope - High Performance Envelope (Recladding, Air Sealing, New Insulation) </t>
  </si>
  <si>
    <t>Mixed Use</t>
  </si>
  <si>
    <t>Ventilation System - Energy Recovery Ventilators (ERV)</t>
  </si>
  <si>
    <t>Gas Appliances - Electric and Induction Ranges &amp; Heat Pump Electric Dryers</t>
  </si>
  <si>
    <t>Ventilation System - Energy Recovery Ventilation (ERV) and Electric Heat</t>
  </si>
  <si>
    <t>Appliance Upgrades &amp; Lighting and Lighting Controls</t>
  </si>
  <si>
    <t>Low Rise Rental Apartment</t>
  </si>
  <si>
    <t>Heating, Cooling, Ventilation Systems - Air Source Heat Pumps + Energy Recovery Ventilators</t>
  </si>
  <si>
    <t>Heating, Cooling, Ventilation Systems - Ground Source Heat Pumps + Energy Recovery Ventilators</t>
  </si>
  <si>
    <t>Single Family Home Attached</t>
  </si>
  <si>
    <t>Ventilation System - Central Energy Recovery Ventilator (ERV)</t>
  </si>
  <si>
    <t>Ventilation System - Local Energy Recovery Ventilator (ERV)</t>
  </si>
  <si>
    <t>Single Family Home Detached</t>
  </si>
  <si>
    <t>Yes/No</t>
  </si>
  <si>
    <t xml:space="preserve"> Year</t>
  </si>
  <si>
    <t>Retrofit List - Dynamic</t>
  </si>
  <si>
    <t>Yes</t>
  </si>
  <si>
    <t>No</t>
  </si>
  <si>
    <t>Cluster</t>
  </si>
  <si>
    <t>Fuel Energy (kWh/m²)</t>
  </si>
  <si>
    <t>Electric Energy (kWh/m²)</t>
  </si>
  <si>
    <t>TEUI
(kWh/ m²)</t>
  </si>
  <si>
    <t xml:space="preserve">Unit: </t>
  </si>
  <si>
    <t>$0.13 / kWh</t>
  </si>
  <si>
    <t>Natural Gas Use Lower</t>
  </si>
  <si>
    <t>Electricity Use Lower</t>
  </si>
  <si>
    <t>Energy Savings - Retrofit</t>
  </si>
  <si>
    <t>Electricity Use Upper</t>
  </si>
  <si>
    <t>Total Energy Savings Lower</t>
  </si>
  <si>
    <t>Total Energy Use Lower (kWh)</t>
  </si>
  <si>
    <t>Total Energy Savings Upper</t>
  </si>
  <si>
    <t>Total Energy Use Upper (kWh)</t>
  </si>
  <si>
    <t>Proposed Electricity Cost Savings Lower</t>
  </si>
  <si>
    <t>Proposed Natural Gas Cost Savings Lower</t>
  </si>
  <si>
    <t>Proposed Total Energy Costs Savings Lower</t>
  </si>
  <si>
    <t>Proposed Total Utility Cost Lower ($)</t>
  </si>
  <si>
    <t>Proposed Total Utility Cost Lower (%)</t>
  </si>
  <si>
    <t>Proposed Electricity Cost Savings Upper</t>
  </si>
  <si>
    <t>Proposed Natural Gas Cost Savings Upper</t>
  </si>
  <si>
    <t>Proposed Total Energy Costs Savings Upper</t>
  </si>
  <si>
    <t>Proposed Total Utility Cost Upper ($)</t>
  </si>
  <si>
    <t>Proposed Utility Cost Upper (%)</t>
  </si>
  <si>
    <t>Most importantly, this retrofit will decrease the building's emissions by</t>
  </si>
  <si>
    <t>on the building's energy use.</t>
  </si>
  <si>
    <t>helping you achieve a reduction in your carbon footprint.</t>
  </si>
  <si>
    <t>you're not just making a change for your building—you're making a difference for the planet.</t>
  </si>
  <si>
    <t>Emission Comparison Metric - Tree</t>
  </si>
  <si>
    <t>Emission Comparison Metric - Car</t>
  </si>
  <si>
    <t>https://www.epa.gov/energy/greenhouse-gas-equivalencies-calculator#results</t>
  </si>
  <si>
    <t>km</t>
  </si>
  <si>
    <t>GHG Emission Reduction Calculator</t>
  </si>
  <si>
    <t>ft²</t>
  </si>
  <si>
    <t>$0.15 / m³</t>
  </si>
  <si>
    <t>$/m³</t>
  </si>
  <si>
    <t>This tool can be used to estimate the potential reduction in greenhouse gas emissions, energy savings and utility costs from a selected net zero retrofit measure.</t>
  </si>
  <si>
    <r>
      <rPr>
        <b/>
        <sz val="18"/>
        <color rgb="FF015A84"/>
        <rFont val="Avenir Next LT Pro"/>
        <family val="2"/>
      </rPr>
      <t>❶</t>
    </r>
    <r>
      <rPr>
        <b/>
        <sz val="12"/>
        <color rgb="FF015A84"/>
        <rFont val="Avenir Next LT Pro"/>
        <family val="2"/>
      </rPr>
      <t xml:space="preserve"> </t>
    </r>
    <r>
      <rPr>
        <b/>
        <sz val="11"/>
        <color rgb="FF015A84"/>
        <rFont val="Avenir Next LT Pro"/>
        <family val="2"/>
      </rPr>
      <t>Input your building characteristics</t>
    </r>
  </si>
  <si>
    <t>Energy (ekWh)</t>
  </si>
  <si>
    <t xml:space="preserve">avoided km driven by an average gas car </t>
  </si>
  <si>
    <t>Natural Gas (kwh/m2)</t>
  </si>
  <si>
    <t>Electricity  (kwh/m2)</t>
  </si>
  <si>
    <t>% NG - LOW</t>
  </si>
  <si>
    <t>% NG - HIGH</t>
  </si>
  <si>
    <t>%Elec - LOW</t>
  </si>
  <si>
    <t>%Elec - HIGH</t>
  </si>
  <si>
    <t>% Elec Added - LOW</t>
  </si>
  <si>
    <t>% Elec Added - HIGH</t>
  </si>
  <si>
    <t>Natural Gas - EUI LOW</t>
  </si>
  <si>
    <t>Natural Gas - EUI HIGH</t>
  </si>
  <si>
    <t>Electricity - EUI LOW</t>
  </si>
  <si>
    <t>Electricity - EUI HIGH</t>
  </si>
  <si>
    <t>DES - EUI LOW</t>
  </si>
  <si>
    <t>DES - EUI HIGH</t>
  </si>
  <si>
    <t>Total EUI Reduction - LOW</t>
  </si>
  <si>
    <t>Total EUI Reduction - HIGH</t>
  </si>
  <si>
    <t>kWh/ft2</t>
  </si>
  <si>
    <t>Energy savings</t>
  </si>
  <si>
    <t>Utility Costs</t>
  </si>
  <si>
    <t>Utility Costs:</t>
  </si>
  <si>
    <t>GHG Emissions:</t>
  </si>
  <si>
    <t>Absolute</t>
  </si>
  <si>
    <t>Rounding Table</t>
  </si>
  <si>
    <t>acres of forest carbon sequestration in one year </t>
  </si>
  <si>
    <t>Existing District Energy Use Default</t>
  </si>
  <si>
    <t>Existing District Energy Use User Input</t>
  </si>
  <si>
    <t>District Energy Use</t>
  </si>
  <si>
    <t>District Emission Rate</t>
  </si>
  <si>
    <t>Existing District Emissions (kg CO2e)</t>
  </si>
  <si>
    <t>Existing District Energy Rate Default</t>
  </si>
  <si>
    <t>Existing District Energy Rate User Input</t>
  </si>
  <si>
    <t>Existing District Energy Rate</t>
  </si>
  <si>
    <t>Connected to District?</t>
  </si>
  <si>
    <t>Existing District Energy Cost</t>
  </si>
  <si>
    <t>District Use Lower</t>
  </si>
  <si>
    <t>District Use Upper</t>
  </si>
  <si>
    <t>Proposed District Cost Savings Lower</t>
  </si>
  <si>
    <t>Proposed District Cost Savings Upper</t>
  </si>
  <si>
    <t>Proposed District Emissions Lower (kg CO2e)</t>
  </si>
  <si>
    <t>Proposed District Emissions Upper (kg CO2e)</t>
  </si>
  <si>
    <t>Emissions District Savings Lower (kg CO2e)</t>
  </si>
  <si>
    <t>Emissions District Savings Upper (kg CO2e)</t>
  </si>
  <si>
    <t>m³/year</t>
  </si>
  <si>
    <t>kWh/year</t>
  </si>
  <si>
    <t>Emissions (kgCO₂e)</t>
  </si>
  <si>
    <t>District Heating Energy Use:</t>
  </si>
  <si>
    <t xml:space="preserve">Is the building connected to District heating system? </t>
  </si>
  <si>
    <t>District Heating Rate:</t>
  </si>
  <si>
    <t>[D] Heating &amp; Cooling Systems - Air Source Heat Pumps</t>
  </si>
  <si>
    <t>[D] Heating &amp; Cooling Systems - Ground Source Heat Pumps</t>
  </si>
  <si>
    <t>DES Energy
(Kwh/m2)</t>
  </si>
  <si>
    <t>[D] Domestic Hot Water - Heat Pump and Electric Resistance Water Heaters</t>
  </si>
  <si>
    <t>% DES - LOW</t>
  </si>
  <si>
    <t>% DES  - HIGH</t>
  </si>
  <si>
    <t>[D] Heating, Cooling, Ventilation Systems - Air Source Heat Pumps + Energy Recovery Ventilators</t>
  </si>
  <si>
    <t>[D] Heating, Cooling, Ventilation Systems - Ground Source Heat Pumps + Energy Recovery Ventilators</t>
  </si>
  <si>
    <t>[D] Domestic Hot Water - Electric Water Heater</t>
  </si>
  <si>
    <t>[D] Heating &amp; Cooling System - Rooftop Air Source Heat Pumps with Backup Electric Heat</t>
  </si>
  <si>
    <t>[D] Heating, Cooling, Ventilation Systems - Rooftop Air Source Heat Pump with Electric Baseboard</t>
  </si>
  <si>
    <t>NG</t>
  </si>
  <si>
    <t>District</t>
  </si>
  <si>
    <t>Natural Gas Use Upper</t>
  </si>
  <si>
    <t>[D] Building Envelope - High Performance Glazing with Enhanced Air Sealing</t>
  </si>
  <si>
    <t>[D] Building Envelope - High Performance Glazing, Wall Insulation, &amp; Roof Insulation</t>
  </si>
  <si>
    <t>[D] Ventilation Systems - Energy Recovery Ventilator (ERV)</t>
  </si>
  <si>
    <t>[D] Renewables - Solar Thermal</t>
  </si>
  <si>
    <t xml:space="preserve">[D] Building Envelope - High Performance Envelope (Recladding, Air Sealing, New Insulation) </t>
  </si>
  <si>
    <t>[D] Gas Appliances - Electric and Induction Ranges &amp; Heat Pump Electric Dryers</t>
  </si>
  <si>
    <t>[D] Ventilation System - Energy Recovery Ventilation (ERV) and Electric Heat</t>
  </si>
  <si>
    <t>[D] Gas Appliances - Electric and Induction Ranges</t>
  </si>
  <si>
    <t>[D] Ventilation System - Central Energy Recovery Ventilator (ERV)</t>
  </si>
  <si>
    <t>[D] Ventilation System - Local Energy Recovery Ventilator (ERV)</t>
  </si>
  <si>
    <t>[D] Renewables - Solar PV</t>
  </si>
  <si>
    <t>[D] Ventilation System - Energy Recovery Ventilators (ERV)</t>
  </si>
  <si>
    <r>
      <t xml:space="preserve">Retrofit Measure
</t>
    </r>
    <r>
      <rPr>
        <sz val="11"/>
        <color theme="0"/>
        <rFont val="Calibri"/>
        <family val="2"/>
        <scheme val="minor"/>
      </rPr>
      <t>[D] = existing district energy</t>
    </r>
  </si>
  <si>
    <t>[D] Appliance Upgrades</t>
  </si>
  <si>
    <t>[D] Lighting and Lighting Controls</t>
  </si>
  <si>
    <t>[D] Appliance Upgrades &amp; Lighting and Lighting Controls</t>
  </si>
  <si>
    <t xml:space="preserve">Building Types with Gas Appliances </t>
  </si>
  <si>
    <t>Low Carbon District Emission Rate</t>
  </si>
  <si>
    <t>(BC DES Calculator Tier 2) https://www2.gov.bc.ca/assets/gov/environment/climate-change/cng/calculators/des_calculator.xlsx</t>
  </si>
  <si>
    <t xml:space="preserve">Enter your energy use cost rates (if known), excluding delivery costs.  If energy rates are not known, the following default value will be used: </t>
  </si>
  <si>
    <t>(Assumes $110/mWh) https://www.surrey.ca/about-surrey/sustainability-energy-services/surrey-city-energy/district-energy-rates-and-billing</t>
  </si>
  <si>
    <t>Heating &amp; Cooling Systems - Low Carbon District Heating System</t>
  </si>
  <si>
    <t>Source: City of Toronto Net Zero Existing Buildings Strategy - Impact Modeling &amp; Assessment Technical Appendix May 2021</t>
  </si>
  <si>
    <t>List of Chart Options</t>
  </si>
  <si>
    <t>Formula - Converts to m2</t>
  </si>
  <si>
    <t>Pull from Existing Building EUI Database</t>
  </si>
  <si>
    <t>Formula - area * energy use intensity</t>
  </si>
  <si>
    <t>Formula - Converts to m3</t>
  </si>
  <si>
    <t>Formula - NG Use Default or User Input</t>
  </si>
  <si>
    <t>Formula - Elec Use Default or User Input</t>
  </si>
  <si>
    <t>Formula - DES Use Default or User Input</t>
  </si>
  <si>
    <t>Constant Value</t>
  </si>
  <si>
    <t>Constant Value - District Steam Rate</t>
  </si>
  <si>
    <t xml:space="preserve">Constant Value - Assumed Low Carbon District Energy Rate </t>
  </si>
  <si>
    <t>Formula - energy Use * Emission Rate</t>
  </si>
  <si>
    <t>Formula - Sum of emissions</t>
  </si>
  <si>
    <t>Formula - energy use * energy cost</t>
  </si>
  <si>
    <t>Heating &amp; Cooling Systems - Low Carbon District Energy System</t>
  </si>
  <si>
    <t>Heating, Cooling, Ventilation Systems - Low Carbon District Energy System + Energy Recovery Ventilators</t>
  </si>
  <si>
    <t>[D] Domestic Hot Water - Low Carbon District Energy System</t>
  </si>
  <si>
    <t>[D] Heating &amp; Cooling Systems - Low Carbon District Energy System</t>
  </si>
  <si>
    <t>[D] Heating, Cooling, Ventilation Systems - Low Carbon District Energy System + Energy Recovery Ventilators</t>
  </si>
  <si>
    <t xml:space="preserve">$0.11 / ekWh   ⓘ </t>
  </si>
  <si>
    <t>ekWh/year</t>
  </si>
  <si>
    <t>Building Type Assumption:</t>
  </si>
  <si>
    <t>Building Vintage</t>
  </si>
  <si>
    <t>Pull from EUI/m2 database</t>
  </si>
  <si>
    <t>Building Vintage (Selected in Phase 2)</t>
  </si>
  <si>
    <t>20-storey structure, 1975 construction</t>
  </si>
  <si>
    <t>2-storey structure, 1965 construction</t>
  </si>
  <si>
    <t>1-storey structure, 1980 construction, &gt;100,000 ft²</t>
  </si>
  <si>
    <t>2-storey structure, 1970 construction</t>
  </si>
  <si>
    <t>1-storey structure, 1950 construction, &lt;100,000 ft²</t>
  </si>
  <si>
    <t>3-storey structure, 1990 construction</t>
  </si>
  <si>
    <t>2-storey structure, 1910 construction</t>
  </si>
  <si>
    <t>4-storey structure, 1960 construction</t>
  </si>
  <si>
    <t>13-storey structure, 2000 construction</t>
  </si>
  <si>
    <t>20-storey structure, 1980 construction</t>
  </si>
  <si>
    <r>
      <rPr>
        <b/>
        <i/>
        <sz val="11"/>
        <color theme="1"/>
        <rFont val="Avenir Next LT Pro"/>
        <family val="2"/>
      </rPr>
      <t xml:space="preserve">Instructions </t>
    </r>
    <r>
      <rPr>
        <i/>
        <sz val="11"/>
        <color theme="1"/>
        <rFont val="Avenir Next LT Pro"/>
        <family val="2"/>
      </rPr>
      <t xml:space="preserve">- </t>
    </r>
    <r>
      <rPr>
        <sz val="11"/>
        <color theme="1"/>
        <rFont val="Avenir Next LT Pro"/>
        <family val="2"/>
      </rPr>
      <t>To begin, input the characteristics of your building. Then select a net zero retrofit measure that you are considering. Lastly, input the building's current energy data if it's known.</t>
    </r>
  </si>
  <si>
    <r>
      <rPr>
        <b/>
        <sz val="18"/>
        <color rgb="FF015A84"/>
        <rFont val="Avenir Next LT Pro"/>
        <family val="2"/>
      </rPr>
      <t>❷</t>
    </r>
    <r>
      <rPr>
        <b/>
        <sz val="12"/>
        <color rgb="FF015A84"/>
        <rFont val="Avenir Next LT Pro"/>
        <family val="2"/>
      </rPr>
      <t xml:space="preserve"> </t>
    </r>
    <r>
      <rPr>
        <b/>
        <sz val="11"/>
        <color rgb="FF015A84"/>
        <rFont val="Avenir Next LT Pro"/>
        <family val="2"/>
      </rPr>
      <t>Select your net zero retrofit measure</t>
    </r>
  </si>
  <si>
    <t xml:space="preserve">By implementing the selected net zero measure, 
</t>
  </si>
  <si>
    <t xml:space="preserve">a decrease of </t>
  </si>
  <si>
    <r>
      <t xml:space="preserve">While some operational costs may increase, the long-term benefits remain impactful. The reduction of </t>
    </r>
    <r>
      <rPr>
        <b/>
        <sz val="11"/>
        <color theme="1"/>
        <rFont val="Avenir Next LT Pro"/>
        <family val="2"/>
      </rPr>
      <t>carbon emissions from the selected retrofit</t>
    </r>
    <r>
      <rPr>
        <sz val="11"/>
        <color theme="1"/>
        <rFont val="Avenir Next LT Pro"/>
        <family val="2"/>
      </rPr>
      <t xml:space="preserve"> is equivalent to: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</si>
</sst>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  <numFmt numFmtId="167" formatCode="_-&quot;$&quot;* #,##0_-;\-&quot;$&quot;* #,##0_-;_-&quot;$&quot;* &quot;-&quot;??_-;_-@_-"/>
    <numFmt numFmtId="168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1E8199"/>
      <name val="Avenir Next LT Pro"/>
      <family val="2"/>
    </font>
    <font>
      <b/>
      <sz val="36"/>
      <color rgb="FF015A84"/>
      <name val="Avenir Next LT Pro"/>
      <family val="2"/>
    </font>
    <font>
      <b/>
      <u/>
      <sz val="11"/>
      <color rgb="FF1E8199"/>
      <name val="Avenir Next LT Pro"/>
      <family val="2"/>
    </font>
    <font>
      <b/>
      <sz val="14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8"/>
      <color rgb="FF015A84"/>
      <name val="Avenir Next LT Pro"/>
      <family val="2"/>
    </font>
    <font>
      <b/>
      <i/>
      <sz val="11"/>
      <color theme="1"/>
      <name val="Avenir Next LT Pro"/>
      <family val="2"/>
    </font>
    <font>
      <i/>
      <sz val="10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2"/>
      <color rgb="FF015A84"/>
      <name val="Avenir Next LT Pro"/>
      <family val="2"/>
    </font>
    <font>
      <b/>
      <sz val="22"/>
      <color rgb="FF015A84"/>
      <name val="Avenir Next LT Pro"/>
      <family val="2"/>
    </font>
    <font>
      <i/>
      <sz val="11"/>
      <color theme="1"/>
      <name val="Avenir Next LT Pro"/>
      <family val="2"/>
    </font>
    <font>
      <b/>
      <sz val="11"/>
      <color rgb="FF015A84"/>
      <name val="Avenir Next LT Pro"/>
      <family val="2"/>
    </font>
    <font>
      <b/>
      <sz val="14"/>
      <color rgb="FF015A84"/>
      <name val="Avenir Next LT Pro"/>
      <family val="2"/>
    </font>
    <font>
      <sz val="11"/>
      <name val="Avenir Next LT Pro"/>
      <family val="2"/>
    </font>
    <font>
      <b/>
      <sz val="11"/>
      <color theme="1"/>
      <name val="Arial"/>
      <family val="2"/>
    </font>
    <font>
      <b/>
      <sz val="26"/>
      <name val="Avenir Next LT Pro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b/>
      <sz val="22"/>
      <color theme="1"/>
      <name val="Avenir Next LT Pro"/>
      <family val="2"/>
    </font>
    <font>
      <sz val="22"/>
      <color theme="1"/>
      <name val="Avenir Next LT Pro"/>
      <family val="2"/>
    </font>
    <font>
      <sz val="22"/>
      <name val="Avenir Next LT Pro"/>
      <family val="2"/>
    </font>
    <font>
      <b/>
      <sz val="22"/>
      <name val="Avenir Next LT Pro"/>
      <family val="2"/>
    </font>
    <font>
      <b/>
      <sz val="12"/>
      <color theme="1"/>
      <name val="Avenir Next LT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15A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8F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8">
    <xf numFmtId="0" fontId="0" fillId="0" borderId="0"/>
    <xf numFmtId="0" fontId="15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0" fontId="5" fillId="0" borderId="0"/>
    <xf numFmtId="44" fontId="17" fillId="0" borderId="0" applyFont="0" applyFill="0" applyBorder="0" applyAlignment="0" applyProtection="0"/>
    <xf numFmtId="0" fontId="4" fillId="0" borderId="0"/>
    <xf numFmtId="9" fontId="17" fillId="0" borderId="0" applyFont="0" applyFill="0" applyBorder="0" applyAlignment="0" applyProtection="0"/>
  </cellStyleXfs>
  <cellXfs count="208">
    <xf numFmtId="0" fontId="0" fillId="0" borderId="0" xfId="0"/>
    <xf numFmtId="0" fontId="7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/>
    </xf>
    <xf numFmtId="0" fontId="13" fillId="2" borderId="1" xfId="0" applyFont="1" applyFill="1" applyBorder="1"/>
    <xf numFmtId="0" fontId="14" fillId="0" borderId="0" xfId="0" applyFont="1"/>
    <xf numFmtId="0" fontId="10" fillId="0" borderId="0" xfId="1" applyFont="1"/>
    <xf numFmtId="0" fontId="13" fillId="2" borderId="1" xfId="0" applyFont="1" applyFill="1" applyBorder="1" applyAlignment="1">
      <alignment horizontal="left" vertical="center"/>
    </xf>
    <xf numFmtId="0" fontId="13" fillId="2" borderId="0" xfId="0" applyFont="1" applyFill="1"/>
    <xf numFmtId="1" fontId="0" fillId="0" borderId="1" xfId="0" applyNumberFormat="1" applyBorder="1"/>
    <xf numFmtId="0" fontId="10" fillId="0" borderId="1" xfId="0" applyFont="1" applyBorder="1" applyAlignment="1">
      <alignment horizontal="left" vertical="center"/>
    </xf>
    <xf numFmtId="0" fontId="15" fillId="0" borderId="0" xfId="1"/>
    <xf numFmtId="0" fontId="16" fillId="0" borderId="0" xfId="0" applyFont="1"/>
    <xf numFmtId="164" fontId="0" fillId="0" borderId="0" xfId="2" applyNumberFormat="1" applyFont="1"/>
    <xf numFmtId="164" fontId="0" fillId="0" borderId="8" xfId="2" applyNumberFormat="1" applyFont="1" applyBorder="1"/>
    <xf numFmtId="164" fontId="0" fillId="0" borderId="3" xfId="2" applyNumberFormat="1" applyFont="1" applyBorder="1"/>
    <xf numFmtId="0" fontId="6" fillId="3" borderId="0" xfId="3" applyFill="1"/>
    <xf numFmtId="0" fontId="6" fillId="6" borderId="0" xfId="3" applyFill="1"/>
    <xf numFmtId="0" fontId="6" fillId="0" borderId="0" xfId="3"/>
    <xf numFmtId="0" fontId="21" fillId="0" borderId="0" xfId="0" applyFont="1"/>
    <xf numFmtId="0" fontId="14" fillId="6" borderId="0" xfId="0" applyFont="1" applyFill="1"/>
    <xf numFmtId="0" fontId="22" fillId="6" borderId="0" xfId="0" applyFont="1" applyFill="1"/>
    <xf numFmtId="0" fontId="22" fillId="3" borderId="0" xfId="0" applyFont="1" applyFill="1"/>
    <xf numFmtId="0" fontId="22" fillId="3" borderId="12" xfId="0" applyFont="1" applyFill="1" applyBorder="1"/>
    <xf numFmtId="0" fontId="22" fillId="3" borderId="13" xfId="0" applyFont="1" applyFill="1" applyBorder="1"/>
    <xf numFmtId="0" fontId="22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center"/>
    </xf>
    <xf numFmtId="0" fontId="27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/>
    <xf numFmtId="0" fontId="22" fillId="4" borderId="0" xfId="0" applyFont="1" applyFill="1" applyAlignment="1">
      <alignment horizontal="right"/>
    </xf>
    <xf numFmtId="0" fontId="22" fillId="4" borderId="0" xfId="0" applyFont="1" applyFill="1" applyAlignment="1">
      <alignment horizontal="left" vertical="top" wrapText="1"/>
    </xf>
    <xf numFmtId="0" fontId="25" fillId="4" borderId="0" xfId="0" applyFont="1" applyFill="1" applyAlignment="1">
      <alignment horizontal="left" vertical="top" wrapText="1"/>
    </xf>
    <xf numFmtId="0" fontId="24" fillId="4" borderId="0" xfId="0" applyFont="1" applyFill="1" applyAlignment="1">
      <alignment vertical="top"/>
    </xf>
    <xf numFmtId="0" fontId="28" fillId="3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2" fillId="4" borderId="0" xfId="0" applyFont="1" applyFill="1" applyAlignment="1">
      <alignment vertical="top" wrapText="1"/>
    </xf>
    <xf numFmtId="0" fontId="22" fillId="3" borderId="12" xfId="0" applyFont="1" applyFill="1" applyBorder="1" applyAlignment="1">
      <alignment horizontal="left" vertical="top" wrapText="1"/>
    </xf>
    <xf numFmtId="0" fontId="22" fillId="3" borderId="13" xfId="0" applyFont="1" applyFill="1" applyBorder="1" applyAlignment="1">
      <alignment horizontal="left" vertical="top" wrapText="1"/>
    </xf>
    <xf numFmtId="0" fontId="22" fillId="3" borderId="9" xfId="0" applyFont="1" applyFill="1" applyBorder="1" applyAlignment="1">
      <alignment vertical="top"/>
    </xf>
    <xf numFmtId="0" fontId="22" fillId="3" borderId="10" xfId="0" applyFont="1" applyFill="1" applyBorder="1" applyAlignment="1">
      <alignment vertical="top"/>
    </xf>
    <xf numFmtId="0" fontId="22" fillId="3" borderId="11" xfId="0" applyFont="1" applyFill="1" applyBorder="1" applyAlignment="1">
      <alignment vertical="top"/>
    </xf>
    <xf numFmtId="0" fontId="22" fillId="3" borderId="12" xfId="0" applyFont="1" applyFill="1" applyBorder="1" applyAlignment="1">
      <alignment vertical="top"/>
    </xf>
    <xf numFmtId="0" fontId="22" fillId="3" borderId="0" xfId="0" applyFont="1" applyFill="1" applyAlignment="1">
      <alignment vertical="top"/>
    </xf>
    <xf numFmtId="0" fontId="22" fillId="3" borderId="13" xfId="0" applyFont="1" applyFill="1" applyBorder="1" applyAlignment="1">
      <alignment vertical="top"/>
    </xf>
    <xf numFmtId="0" fontId="30" fillId="3" borderId="12" xfId="0" applyFont="1" applyFill="1" applyBorder="1"/>
    <xf numFmtId="0" fontId="30" fillId="3" borderId="0" xfId="0" applyFont="1" applyFill="1"/>
    <xf numFmtId="0" fontId="30" fillId="3" borderId="13" xfId="0" applyFont="1" applyFill="1" applyBorder="1"/>
    <xf numFmtId="0" fontId="22" fillId="3" borderId="12" xfId="0" applyFont="1" applyFill="1" applyBorder="1" applyAlignment="1">
      <alignment vertical="top" wrapText="1"/>
    </xf>
    <xf numFmtId="0" fontId="22" fillId="3" borderId="0" xfId="0" applyFont="1" applyFill="1" applyAlignment="1">
      <alignment vertical="top" wrapText="1"/>
    </xf>
    <xf numFmtId="0" fontId="22" fillId="3" borderId="13" xfId="0" applyFont="1" applyFill="1" applyBorder="1" applyAlignment="1">
      <alignment vertical="top" wrapText="1"/>
    </xf>
    <xf numFmtId="0" fontId="32" fillId="3" borderId="0" xfId="0" applyFont="1" applyFill="1"/>
    <xf numFmtId="0" fontId="22" fillId="5" borderId="0" xfId="0" applyFont="1" applyFill="1" applyAlignment="1">
      <alignment vertical="top" wrapText="1"/>
    </xf>
    <xf numFmtId="0" fontId="22" fillId="5" borderId="0" xfId="0" applyFont="1" applyFill="1"/>
    <xf numFmtId="0" fontId="12" fillId="7" borderId="1" xfId="0" applyFont="1" applyFill="1" applyBorder="1" applyAlignment="1">
      <alignment horizontal="right"/>
    </xf>
    <xf numFmtId="0" fontId="25" fillId="4" borderId="0" xfId="0" applyFont="1" applyFill="1" applyAlignment="1">
      <alignment horizontal="left" vertical="top"/>
    </xf>
    <xf numFmtId="0" fontId="23" fillId="3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horizontal="left"/>
    </xf>
    <xf numFmtId="0" fontId="4" fillId="0" borderId="0" xfId="6"/>
    <xf numFmtId="0" fontId="33" fillId="0" borderId="0" xfId="6" applyFont="1"/>
    <xf numFmtId="0" fontId="4" fillId="0" borderId="0" xfId="6" applyAlignment="1">
      <alignment wrapText="1"/>
    </xf>
    <xf numFmtId="0" fontId="13" fillId="2" borderId="1" xfId="6" applyFont="1" applyFill="1" applyBorder="1" applyAlignment="1">
      <alignment vertical="center"/>
    </xf>
    <xf numFmtId="0" fontId="13" fillId="2" borderId="0" xfId="6" applyFont="1" applyFill="1" applyAlignment="1">
      <alignment vertical="center" wrapText="1"/>
    </xf>
    <xf numFmtId="49" fontId="4" fillId="0" borderId="1" xfId="6" applyNumberFormat="1" applyBorder="1" applyAlignment="1">
      <alignment vertical="center" wrapText="1"/>
    </xf>
    <xf numFmtId="49" fontId="4" fillId="5" borderId="1" xfId="6" applyNumberFormat="1" applyFill="1" applyBorder="1" applyAlignment="1">
      <alignment vertical="center" wrapText="1"/>
    </xf>
    <xf numFmtId="49" fontId="4" fillId="5" borderId="1" xfId="6" applyNumberFormat="1" applyFill="1" applyBorder="1" applyAlignment="1">
      <alignment vertical="center"/>
    </xf>
    <xf numFmtId="9" fontId="4" fillId="0" borderId="1" xfId="6" applyNumberFormat="1" applyBorder="1" applyAlignment="1">
      <alignment vertical="center"/>
    </xf>
    <xf numFmtId="9" fontId="4" fillId="3" borderId="1" xfId="6" applyNumberFormat="1" applyFill="1" applyBorder="1" applyAlignment="1">
      <alignment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0" fillId="0" borderId="22" xfId="0" applyBorder="1"/>
    <xf numFmtId="164" fontId="0" fillId="0" borderId="0" xfId="2" applyNumberFormat="1" applyFont="1" applyFill="1"/>
    <xf numFmtId="43" fontId="0" fillId="0" borderId="0" xfId="0" applyNumberFormat="1"/>
    <xf numFmtId="0" fontId="22" fillId="0" borderId="0" xfId="0" applyFont="1"/>
    <xf numFmtId="0" fontId="22" fillId="3" borderId="0" xfId="0" applyFont="1" applyFill="1" applyAlignment="1">
      <alignment vertical="center" textRotation="90"/>
    </xf>
    <xf numFmtId="0" fontId="22" fillId="8" borderId="0" xfId="0" applyFont="1" applyFill="1" applyAlignment="1">
      <alignment vertical="top"/>
    </xf>
    <xf numFmtId="0" fontId="22" fillId="8" borderId="0" xfId="0" applyFont="1" applyFill="1"/>
    <xf numFmtId="0" fontId="26" fillId="8" borderId="0" xfId="0" applyFont="1" applyFill="1"/>
    <xf numFmtId="0" fontId="22" fillId="8" borderId="0" xfId="0" applyFont="1" applyFill="1" applyAlignment="1">
      <alignment horizontal="left"/>
    </xf>
    <xf numFmtId="0" fontId="30" fillId="8" borderId="0" xfId="0" applyFont="1" applyFill="1"/>
    <xf numFmtId="0" fontId="22" fillId="8" borderId="0" xfId="0" applyFont="1" applyFill="1" applyAlignment="1">
      <alignment vertical="top" wrapText="1"/>
    </xf>
    <xf numFmtId="164" fontId="0" fillId="0" borderId="0" xfId="2" applyNumberFormat="1" applyFont="1" applyAlignment="1">
      <alignment horizontal="left"/>
    </xf>
    <xf numFmtId="0" fontId="22" fillId="6" borderId="0" xfId="0" applyFont="1" applyFill="1" applyAlignment="1">
      <alignment horizontal="left" vertical="top" wrapText="1"/>
    </xf>
    <xf numFmtId="0" fontId="22" fillId="8" borderId="0" xfId="0" applyFont="1" applyFill="1" applyAlignment="1">
      <alignment wrapText="1"/>
    </xf>
    <xf numFmtId="164" fontId="22" fillId="3" borderId="17" xfId="2" applyNumberFormat="1" applyFont="1" applyFill="1" applyBorder="1" applyAlignment="1" applyProtection="1">
      <alignment horizontal="center"/>
      <protection locked="0"/>
    </xf>
    <xf numFmtId="164" fontId="22" fillId="3" borderId="5" xfId="2" applyNumberFormat="1" applyFont="1" applyFill="1" applyBorder="1" applyProtection="1">
      <protection locked="0"/>
    </xf>
    <xf numFmtId="0" fontId="22" fillId="3" borderId="5" xfId="0" applyFont="1" applyFill="1" applyBorder="1" applyProtection="1">
      <protection locked="0"/>
    </xf>
    <xf numFmtId="0" fontId="34" fillId="5" borderId="0" xfId="0" applyFont="1" applyFill="1" applyAlignment="1">
      <alignment vertical="center"/>
    </xf>
    <xf numFmtId="164" fontId="3" fillId="0" borderId="1" xfId="2" applyNumberFormat="1" applyFont="1" applyBorder="1" applyAlignment="1">
      <alignment vertical="center"/>
    </xf>
    <xf numFmtId="9" fontId="3" fillId="0" borderId="1" xfId="6" applyNumberFormat="1" applyFont="1" applyBorder="1" applyAlignment="1">
      <alignment vertical="center"/>
    </xf>
    <xf numFmtId="164" fontId="0" fillId="0" borderId="3" xfId="2" applyNumberFormat="1" applyFont="1" applyBorder="1" applyAlignment="1">
      <alignment horizontal="left"/>
    </xf>
    <xf numFmtId="0" fontId="0" fillId="0" borderId="2" xfId="0" applyBorder="1" applyAlignment="1">
      <alignment horizontal="right"/>
    </xf>
    <xf numFmtId="0" fontId="7" fillId="0" borderId="1" xfId="0" applyFont="1" applyBorder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2" fillId="4" borderId="0" xfId="0" applyFont="1" applyFill="1" applyAlignment="1">
      <alignment wrapText="1"/>
    </xf>
    <xf numFmtId="0" fontId="22" fillId="3" borderId="23" xfId="0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1" fontId="0" fillId="0" borderId="1" xfId="0" applyNumberFormat="1" applyBorder="1" applyAlignment="1">
      <alignment vertical="center"/>
    </xf>
    <xf numFmtId="49" fontId="2" fillId="5" borderId="1" xfId="6" applyNumberFormat="1" applyFont="1" applyFill="1" applyBorder="1" applyAlignment="1">
      <alignment vertical="center" wrapText="1"/>
    </xf>
    <xf numFmtId="164" fontId="22" fillId="0" borderId="5" xfId="2" applyNumberFormat="1" applyFont="1" applyFill="1" applyBorder="1" applyProtection="1">
      <protection locked="0"/>
    </xf>
    <xf numFmtId="167" fontId="4" fillId="0" borderId="0" xfId="5" applyNumberFormat="1" applyFont="1" applyFill="1" applyAlignment="1">
      <alignment wrapText="1"/>
    </xf>
    <xf numFmtId="9" fontId="0" fillId="0" borderId="1" xfId="7" applyFont="1" applyFill="1" applyBorder="1" applyAlignment="1">
      <alignment vertical="center"/>
    </xf>
    <xf numFmtId="9" fontId="3" fillId="0" borderId="1" xfId="7" applyFont="1" applyFill="1" applyBorder="1" applyAlignment="1">
      <alignment vertical="center"/>
    </xf>
    <xf numFmtId="0" fontId="13" fillId="2" borderId="1" xfId="6" applyFont="1" applyFill="1" applyBorder="1" applyAlignment="1">
      <alignment vertical="center" wrapText="1"/>
    </xf>
    <xf numFmtId="49" fontId="4" fillId="0" borderId="1" xfId="6" applyNumberFormat="1" applyBorder="1" applyAlignment="1">
      <alignment horizontal="left" vertical="center" wrapText="1"/>
    </xf>
    <xf numFmtId="49" fontId="2" fillId="10" borderId="1" xfId="6" applyNumberFormat="1" applyFont="1" applyFill="1" applyBorder="1" applyAlignment="1">
      <alignment horizontal="left" vertical="center" wrapText="1"/>
    </xf>
    <xf numFmtId="49" fontId="4" fillId="10" borderId="1" xfId="6" applyNumberFormat="1" applyFill="1" applyBorder="1" applyAlignment="1">
      <alignment horizontal="left" vertical="center"/>
    </xf>
    <xf numFmtId="9" fontId="4" fillId="0" borderId="1" xfId="6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64" fontId="3" fillId="0" borderId="1" xfId="2" applyNumberFormat="1" applyFont="1" applyBorder="1" applyAlignment="1">
      <alignment horizontal="left" vertical="center"/>
    </xf>
    <xf numFmtId="9" fontId="3" fillId="0" borderId="1" xfId="7" applyFont="1" applyBorder="1" applyAlignment="1">
      <alignment horizontal="left" vertical="center"/>
    </xf>
    <xf numFmtId="0" fontId="4" fillId="0" borderId="0" xfId="6" applyAlignment="1">
      <alignment horizontal="left" vertical="center"/>
    </xf>
    <xf numFmtId="49" fontId="2" fillId="10" borderId="1" xfId="6" applyNumberFormat="1" applyFont="1" applyFill="1" applyBorder="1" applyAlignment="1">
      <alignment horizontal="left" vertical="center"/>
    </xf>
    <xf numFmtId="9" fontId="2" fillId="0" borderId="1" xfId="6" applyNumberFormat="1" applyFont="1" applyBorder="1" applyAlignment="1">
      <alignment horizontal="left" vertical="center"/>
    </xf>
    <xf numFmtId="9" fontId="3" fillId="0" borderId="1" xfId="6" applyNumberFormat="1" applyFont="1" applyBorder="1" applyAlignment="1">
      <alignment horizontal="left" vertical="center"/>
    </xf>
    <xf numFmtId="0" fontId="13" fillId="2" borderId="6" xfId="6" applyFont="1" applyFill="1" applyBorder="1" applyAlignment="1">
      <alignment vertical="center"/>
    </xf>
    <xf numFmtId="0" fontId="13" fillId="2" borderId="6" xfId="6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/>
    <xf numFmtId="164" fontId="0" fillId="0" borderId="0" xfId="0" applyNumberFormat="1"/>
    <xf numFmtId="164" fontId="0" fillId="4" borderId="1" xfId="2" applyNumberFormat="1" applyFont="1" applyFill="1" applyBorder="1"/>
    <xf numFmtId="165" fontId="0" fillId="4" borderId="1" xfId="2" applyNumberFormat="1" applyFont="1" applyFill="1" applyBorder="1"/>
    <xf numFmtId="166" fontId="0" fillId="4" borderId="1" xfId="2" applyNumberFormat="1" applyFont="1" applyFill="1" applyBorder="1"/>
    <xf numFmtId="43" fontId="0" fillId="4" borderId="1" xfId="2" applyFont="1" applyFill="1" applyBorder="1"/>
    <xf numFmtId="0" fontId="0" fillId="4" borderId="1" xfId="0" applyFill="1" applyBorder="1"/>
    <xf numFmtId="164" fontId="0" fillId="0" borderId="0" xfId="2" applyNumberFormat="1" applyFont="1" applyFill="1" applyBorder="1"/>
    <xf numFmtId="9" fontId="0" fillId="4" borderId="1" xfId="7" applyFont="1" applyFill="1" applyBorder="1"/>
    <xf numFmtId="167" fontId="0" fillId="4" borderId="1" xfId="5" applyNumberFormat="1" applyFont="1" applyFill="1" applyBorder="1"/>
    <xf numFmtId="167" fontId="0" fillId="4" borderId="6" xfId="5" applyNumberFormat="1" applyFont="1" applyFill="1" applyBorder="1"/>
    <xf numFmtId="168" fontId="0" fillId="4" borderId="1" xfId="2" applyNumberFormat="1" applyFont="1" applyFill="1" applyBorder="1"/>
    <xf numFmtId="164" fontId="0" fillId="4" borderId="7" xfId="2" applyNumberFormat="1" applyFont="1" applyFill="1" applyBorder="1"/>
    <xf numFmtId="164" fontId="0" fillId="4" borderId="6" xfId="2" applyNumberFormat="1" applyFont="1" applyFill="1" applyBorder="1"/>
    <xf numFmtId="9" fontId="0" fillId="4" borderId="1" xfId="2" applyNumberFormat="1" applyFont="1" applyFill="1" applyBorder="1"/>
    <xf numFmtId="43" fontId="38" fillId="0" borderId="0" xfId="0" applyNumberFormat="1" applyFont="1"/>
    <xf numFmtId="0" fontId="40" fillId="0" borderId="0" xfId="1" applyFont="1"/>
    <xf numFmtId="164" fontId="0" fillId="4" borderId="1" xfId="2" applyNumberFormat="1" applyFont="1" applyFill="1" applyBorder="1" applyAlignment="1">
      <alignment horizontal="left"/>
    </xf>
    <xf numFmtId="0" fontId="8" fillId="4" borderId="1" xfId="0" applyFont="1" applyFill="1" applyBorder="1"/>
    <xf numFmtId="0" fontId="10" fillId="0" borderId="0" xfId="0" applyFont="1"/>
    <xf numFmtId="0" fontId="0" fillId="0" borderId="0" xfId="0" applyAlignment="1">
      <alignment horizontal="left"/>
    </xf>
    <xf numFmtId="164" fontId="10" fillId="4" borderId="1" xfId="2" applyNumberFormat="1" applyFont="1" applyFill="1" applyBorder="1"/>
    <xf numFmtId="0" fontId="10" fillId="0" borderId="1" xfId="0" applyFont="1" applyBorder="1" applyAlignment="1">
      <alignment horizontal="center"/>
    </xf>
    <xf numFmtId="164" fontId="10" fillId="0" borderId="1" xfId="2" applyNumberFormat="1" applyFont="1" applyBorder="1"/>
    <xf numFmtId="164" fontId="0" fillId="4" borderId="1" xfId="2" applyNumberFormat="1" applyFont="1" applyFill="1" applyBorder="1" applyAlignment="1">
      <alignment horizontal="center"/>
    </xf>
    <xf numFmtId="0" fontId="2" fillId="0" borderId="1" xfId="6" applyFont="1" applyBorder="1" applyAlignment="1">
      <alignment vertical="center"/>
    </xf>
    <xf numFmtId="49" fontId="2" fillId="0" borderId="1" xfId="6" applyNumberFormat="1" applyFont="1" applyBorder="1" applyAlignment="1">
      <alignment horizontal="left" vertical="center" wrapText="1"/>
    </xf>
    <xf numFmtId="49" fontId="4" fillId="0" borderId="1" xfId="6" applyNumberFormat="1" applyBorder="1" applyAlignment="1">
      <alignment horizontal="left" vertical="center"/>
    </xf>
    <xf numFmtId="9" fontId="0" fillId="0" borderId="1" xfId="7" applyFont="1" applyFill="1" applyBorder="1" applyAlignment="1">
      <alignment horizontal="left" vertical="center"/>
    </xf>
    <xf numFmtId="9" fontId="3" fillId="0" borderId="1" xfId="7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 vertical="center"/>
    </xf>
    <xf numFmtId="49" fontId="1" fillId="5" borderId="1" xfId="6" applyNumberFormat="1" applyFont="1" applyFill="1" applyBorder="1" applyAlignment="1">
      <alignment vertical="center" wrapText="1"/>
    </xf>
    <xf numFmtId="0" fontId="13" fillId="2" borderId="0" xfId="0" applyFont="1" applyFill="1" applyAlignment="1">
      <alignment wrapText="1"/>
    </xf>
    <xf numFmtId="0" fontId="12" fillId="7" borderId="0" xfId="0" applyFont="1" applyFill="1" applyAlignment="1">
      <alignment horizontal="right" wrapText="1"/>
    </xf>
    <xf numFmtId="1" fontId="0" fillId="0" borderId="1" xfId="0" applyNumberFormat="1" applyBorder="1" applyAlignment="1">
      <alignment wrapText="1"/>
    </xf>
    <xf numFmtId="0" fontId="31" fillId="3" borderId="0" xfId="0" applyFont="1" applyFill="1"/>
    <xf numFmtId="0" fontId="41" fillId="9" borderId="0" xfId="0" applyFont="1" applyFill="1" applyAlignment="1">
      <alignment horizontal="right" vertical="center" indent="1"/>
    </xf>
    <xf numFmtId="0" fontId="42" fillId="5" borderId="0" xfId="0" applyFont="1" applyFill="1"/>
    <xf numFmtId="0" fontId="43" fillId="5" borderId="0" xfId="0" applyFont="1" applyFill="1" applyAlignment="1">
      <alignment horizontal="left"/>
    </xf>
    <xf numFmtId="0" fontId="41" fillId="9" borderId="0" xfId="0" applyFont="1" applyFill="1" applyAlignment="1">
      <alignment vertical="center"/>
    </xf>
    <xf numFmtId="0" fontId="44" fillId="5" borderId="0" xfId="0" applyFont="1" applyFill="1" applyAlignment="1">
      <alignment vertical="center" wrapText="1"/>
    </xf>
    <xf numFmtId="0" fontId="45" fillId="3" borderId="0" xfId="0" applyFont="1" applyFill="1"/>
    <xf numFmtId="0" fontId="18" fillId="3" borderId="0" xfId="3" applyFont="1" applyFill="1" applyAlignment="1">
      <alignment horizontal="center"/>
    </xf>
    <xf numFmtId="0" fontId="19" fillId="3" borderId="0" xfId="3" applyFont="1" applyFill="1" applyAlignment="1">
      <alignment horizontal="center" vertical="top" wrapText="1"/>
    </xf>
    <xf numFmtId="0" fontId="19" fillId="3" borderId="0" xfId="3" applyFont="1" applyFill="1" applyAlignment="1">
      <alignment horizontal="center" vertical="top"/>
    </xf>
    <xf numFmtId="0" fontId="20" fillId="3" borderId="0" xfId="1" applyFont="1" applyFill="1" applyAlignment="1">
      <alignment horizontal="center"/>
    </xf>
    <xf numFmtId="0" fontId="20" fillId="3" borderId="0" xfId="3" applyFont="1" applyFill="1" applyAlignment="1">
      <alignment horizontal="center"/>
    </xf>
    <xf numFmtId="0" fontId="22" fillId="4" borderId="0" xfId="0" applyFont="1" applyFill="1" applyAlignment="1">
      <alignment horizontal="left" vertical="top" wrapText="1" indent="1"/>
    </xf>
    <xf numFmtId="0" fontId="41" fillId="9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textRotation="90"/>
    </xf>
    <xf numFmtId="0" fontId="22" fillId="5" borderId="0" xfId="0" applyFont="1" applyFill="1" applyAlignment="1">
      <alignment horizontal="left" vertical="top" wrapText="1"/>
    </xf>
    <xf numFmtId="0" fontId="44" fillId="5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left"/>
    </xf>
    <xf numFmtId="0" fontId="22" fillId="4" borderId="0" xfId="0" applyFont="1" applyFill="1" applyAlignment="1">
      <alignment horizontal="right" wrapText="1"/>
    </xf>
    <xf numFmtId="0" fontId="22" fillId="3" borderId="18" xfId="0" applyFont="1" applyFill="1" applyBorder="1" applyAlignment="1" applyProtection="1">
      <alignment horizontal="left" vertical="center"/>
      <protection locked="0"/>
    </xf>
    <xf numFmtId="0" fontId="22" fillId="3" borderId="26" xfId="0" applyFont="1" applyFill="1" applyBorder="1" applyAlignment="1" applyProtection="1">
      <alignment horizontal="left" vertical="center"/>
      <protection locked="0"/>
    </xf>
    <xf numFmtId="0" fontId="23" fillId="3" borderId="0" xfId="0" applyFont="1" applyFill="1" applyAlignment="1">
      <alignment horizontal="left" vertical="center" wrapText="1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left" vertical="top" wrapText="1"/>
    </xf>
    <xf numFmtId="0" fontId="29" fillId="4" borderId="0" xfId="0" applyFont="1" applyFill="1" applyAlignment="1">
      <alignment horizontal="left" vertical="top" wrapText="1"/>
    </xf>
    <xf numFmtId="0" fontId="22" fillId="3" borderId="9" xfId="0" applyFont="1" applyFill="1" applyBorder="1" applyAlignment="1" applyProtection="1">
      <alignment horizontal="left" vertical="top" wrapText="1"/>
      <protection locked="0"/>
    </xf>
    <xf numFmtId="0" fontId="22" fillId="3" borderId="10" xfId="0" applyFont="1" applyFill="1" applyBorder="1" applyAlignment="1" applyProtection="1">
      <alignment horizontal="left" vertical="top" wrapText="1"/>
      <protection locked="0"/>
    </xf>
    <xf numFmtId="0" fontId="22" fillId="3" borderId="11" xfId="0" applyFont="1" applyFill="1" applyBorder="1" applyAlignment="1" applyProtection="1">
      <alignment horizontal="left" vertical="top" wrapText="1"/>
      <protection locked="0"/>
    </xf>
    <xf numFmtId="0" fontId="22" fillId="3" borderId="12" xfId="0" applyFont="1" applyFill="1" applyBorder="1" applyAlignment="1" applyProtection="1">
      <alignment horizontal="left" vertical="top" wrapText="1"/>
      <protection locked="0"/>
    </xf>
    <xf numFmtId="0" fontId="22" fillId="3" borderId="0" xfId="0" applyFont="1" applyFill="1" applyAlignment="1" applyProtection="1">
      <alignment horizontal="left" vertical="top" wrapText="1"/>
      <protection locked="0"/>
    </xf>
    <xf numFmtId="0" fontId="22" fillId="3" borderId="13" xfId="0" applyFont="1" applyFill="1" applyBorder="1" applyAlignment="1" applyProtection="1">
      <alignment horizontal="left" vertical="top" wrapText="1"/>
      <protection locked="0"/>
    </xf>
    <xf numFmtId="0" fontId="22" fillId="3" borderId="14" xfId="0" applyFont="1" applyFill="1" applyBorder="1" applyAlignment="1" applyProtection="1">
      <alignment horizontal="left" vertical="top" wrapText="1"/>
      <protection locked="0"/>
    </xf>
    <xf numFmtId="0" fontId="22" fillId="3" borderId="15" xfId="0" applyFont="1" applyFill="1" applyBorder="1" applyAlignment="1" applyProtection="1">
      <alignment horizontal="left" vertical="top" wrapText="1"/>
      <protection locked="0"/>
    </xf>
    <xf numFmtId="0" fontId="22" fillId="3" borderId="16" xfId="0" applyFont="1" applyFill="1" applyBorder="1" applyAlignment="1" applyProtection="1">
      <alignment horizontal="left" vertical="top" wrapText="1"/>
      <protection locked="0"/>
    </xf>
    <xf numFmtId="0" fontId="30" fillId="8" borderId="0" xfId="0" applyFont="1" applyFill="1" applyAlignment="1">
      <alignment horizontal="left"/>
    </xf>
    <xf numFmtId="0" fontId="22" fillId="8" borderId="0" xfId="0" applyFont="1" applyFill="1" applyAlignment="1">
      <alignment horizontal="left" vertical="top"/>
    </xf>
    <xf numFmtId="0" fontId="25" fillId="4" borderId="0" xfId="0" applyFont="1" applyFill="1" applyAlignment="1">
      <alignment horizontal="left" wrapText="1" indent="1"/>
    </xf>
  </cellXfs>
  <cellStyles count="8">
    <cellStyle name="Comma" xfId="2" builtinId="3"/>
    <cellStyle name="Currency" xfId="5" builtinId="4"/>
    <cellStyle name="Hyperlink" xfId="1" builtinId="8"/>
    <cellStyle name="Normal" xfId="0" builtinId="0"/>
    <cellStyle name="Normal 2" xfId="3" xr:uid="{68D529A9-1B30-4688-8744-23107A9C347D}"/>
    <cellStyle name="Normal 3" xfId="4" xr:uid="{5A36665A-7F33-4DDE-8D33-3BB2868F4A1F}"/>
    <cellStyle name="Normal 5" xfId="6" xr:uid="{1C3B1389-A75F-47E0-BA24-F972C312C414}"/>
    <cellStyle name="Percent" xfId="7" builtinId="5"/>
  </cellStyles>
  <dxfs count="5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0F8FB"/>
      </font>
      <fill>
        <patternFill>
          <bgColor rgb="FFF0F8FB"/>
        </patternFill>
      </fill>
    </dxf>
    <dxf>
      <font>
        <color rgb="FFF0F8FB"/>
      </font>
      <fill>
        <patternFill>
          <bgColor rgb="FFF0F8FB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0F8FB"/>
      <color rgb="FF0181BB"/>
      <color rgb="FF015A84"/>
      <color rgb="FFFF66FF"/>
      <color rgb="FFE2EFDA"/>
      <color rgb="FFFFFFFF"/>
      <color rgb="FF000000"/>
      <color rgb="FFB0DDEC"/>
      <color rgb="FFC9EEFF"/>
      <color rgb="FF038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5121426925344"/>
          <c:y val="0.11492972642591988"/>
          <c:w val="0.82185962834760429"/>
          <c:h val="0.624420129411635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'Tool Calc Sheet'!$B$121</c:f>
              <c:strCache>
                <c:ptCount val="1"/>
                <c:pt idx="0">
                  <c:v>Electricity Energy (ekWh)</c:v>
                </c:pt>
              </c:strCache>
            </c:strRef>
          </c:tx>
          <c:spPr>
            <a:solidFill>
              <a:srgbClr val="015A84"/>
            </a:solidFill>
            <a:ln>
              <a:noFill/>
            </a:ln>
            <a:effectLst/>
          </c:spPr>
          <c:invertIfNegative val="0"/>
          <c:cat>
            <c:strRef>
              <c:f>'Tool Calc Sheet'!$C$120:$D$120</c:f>
              <c:strCache>
                <c:ptCount val="2"/>
                <c:pt idx="0">
                  <c:v>Existing Building</c:v>
                </c:pt>
                <c:pt idx="1">
                  <c:v> Building with NZC Retrofit Measure </c:v>
                </c:pt>
              </c:strCache>
            </c:strRef>
          </c:cat>
          <c:val>
            <c:numRef>
              <c:f>'Tool Calc Sheet'!$C$121:$D$121</c:f>
              <c:numCache>
                <c:formatCode>_-* #,##0_-;\-* #,##0_-;_-* "-"??_-;_-@_-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7-4F8E-A64D-ED8F13A7FAEC}"/>
            </c:ext>
          </c:extLst>
        </c:ser>
        <c:ser>
          <c:idx val="3"/>
          <c:order val="1"/>
          <c:tx>
            <c:strRef>
              <c:f>'Tool Calc Sheet'!$B$123</c:f>
              <c:strCache>
                <c:ptCount val="1"/>
                <c:pt idx="0">
                  <c:v>District Heating Energy (ekWh)</c:v>
                </c:pt>
              </c:strCache>
            </c:strRef>
          </c:tx>
          <c:spPr>
            <a:solidFill>
              <a:srgbClr val="0181BB"/>
            </a:solidFill>
            <a:ln>
              <a:noFill/>
            </a:ln>
            <a:effectLst/>
          </c:spPr>
          <c:invertIfNegative val="0"/>
          <c:val>
            <c:numRef>
              <c:f>'Tool Calc Sheet'!$C$123:$D$123</c:f>
              <c:numCache>
                <c:formatCode>_-* #,##0_-;\-* #,##0_-;_-* "-"??_-;_-@_-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F-4D19-8585-CEA09FFAF794}"/>
            </c:ext>
          </c:extLst>
        </c:ser>
        <c:ser>
          <c:idx val="1"/>
          <c:order val="2"/>
          <c:tx>
            <c:strRef>
              <c:f>'Tool Calc Sheet'!$B$122</c:f>
              <c:strCache>
                <c:ptCount val="1"/>
                <c:pt idx="0">
                  <c:v>Natural Gas Energy (ekWh)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'Tool Calc Sheet'!$C$120:$D$120</c:f>
              <c:strCache>
                <c:ptCount val="2"/>
                <c:pt idx="0">
                  <c:v>Existing Building</c:v>
                </c:pt>
                <c:pt idx="1">
                  <c:v> Building with NZC Retrofit Measure </c:v>
                </c:pt>
              </c:strCache>
            </c:strRef>
          </c:cat>
          <c:val>
            <c:numRef>
              <c:f>'Tool Calc Sheet'!$C$122:$D$122</c:f>
              <c:numCache>
                <c:formatCode>_-* #,##0_-;\-* #,##0_-;_-* "-"??_-;_-@_-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7-4F8E-A64D-ED8F13A7FAEC}"/>
            </c:ext>
          </c:extLst>
        </c:ser>
        <c:ser>
          <c:idx val="2"/>
          <c:order val="3"/>
          <c:tx>
            <c:strRef>
              <c:f>'Tool Calc Sheet'!$B$124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D-4F89-9549-D5BA9238441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b="1"/>
                      <a:t>Reduction of:</a:t>
                    </a:r>
                    <a:r>
                      <a:rPr lang="en-US" b="1" baseline="0"/>
                      <a:t> </a:t>
                    </a:r>
                  </a:p>
                  <a:p>
                    <a:pPr>
                      <a:defRPr b="1"/>
                    </a:pPr>
                    <a:fld id="{21712E17-3FAE-402F-8F4A-9243823A03E2}" type="SERIESNAME">
                      <a:rPr lang="en-US" b="1"/>
                      <a:pPr>
                        <a:defRPr b="1"/>
                      </a:pPr>
                      <a:t>[SERIES NAME]</a:t>
                    </a:fld>
                    <a:endParaRPr lang="en-C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22592415620521"/>
                      <c:h val="0.1472506464956036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FC1-4794-B485-3EA9B114A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'Tool Calc Sheet'!$C$124:$D$124</c:f>
              <c:numCache>
                <c:formatCode>_-* #,##0_-;\-* #,##0_-;_-* "-"??_-;_-@_-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'Tool Calc Sheet'!$E$113</c15:f>
                <c15:dlblRangeCache>
                  <c:ptCount val="1"/>
                  <c:pt idx="0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FC1-4794-B485-3EA9B114A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725632"/>
        <c:axId val="180725152"/>
      </c:barChart>
      <c:catAx>
        <c:axId val="1807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725152"/>
        <c:crosses val="autoZero"/>
        <c:auto val="1"/>
        <c:lblAlgn val="ctr"/>
        <c:lblOffset val="100"/>
        <c:noMultiLvlLbl val="0"/>
      </c:catAx>
      <c:valAx>
        <c:axId val="180725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72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28619495423979302"/>
          <c:y val="0.81016297796566672"/>
          <c:w val="0.370177233085343"/>
          <c:h val="0.16129910953371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venir Next LT Pro" panose="020B05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27</xdr:row>
      <xdr:rowOff>66675</xdr:rowOff>
    </xdr:from>
    <xdr:to>
      <xdr:col>18</xdr:col>
      <xdr:colOff>38100</xdr:colOff>
      <xdr:row>31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F15D3D-95D2-48E5-8F22-950DAA71A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57" t="72320" r="886" b="2768"/>
        <a:stretch/>
      </xdr:blipFill>
      <xdr:spPr>
        <a:xfrm>
          <a:off x="657224" y="5715000"/>
          <a:ext cx="10306051" cy="77152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12</xdr:row>
      <xdr:rowOff>161925</xdr:rowOff>
    </xdr:from>
    <xdr:to>
      <xdr:col>17</xdr:col>
      <xdr:colOff>354564</xdr:colOff>
      <xdr:row>27</xdr:row>
      <xdr:rowOff>76745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3C6117-D51B-4637-A7E2-1A51AC14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" y="3095625"/>
          <a:ext cx="9870039" cy="2629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119568</xdr:colOff>
      <xdr:row>22</xdr:row>
      <xdr:rowOff>87404</xdr:rowOff>
    </xdr:from>
    <xdr:to>
      <xdr:col>21</xdr:col>
      <xdr:colOff>261675</xdr:colOff>
      <xdr:row>42</xdr:row>
      <xdr:rowOff>167471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90627-BB17-453C-9752-18848751E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617555</xdr:colOff>
      <xdr:row>21</xdr:row>
      <xdr:rowOff>52335</xdr:rowOff>
    </xdr:from>
    <xdr:to>
      <xdr:col>32</xdr:col>
      <xdr:colOff>67234</xdr:colOff>
      <xdr:row>40</xdr:row>
      <xdr:rowOff>85724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AA37CE8D-69C5-FFF6-A49C-8DFFF9F697FB}"/>
            </a:ext>
          </a:extLst>
        </xdr:cNvPr>
        <xdr:cNvGrpSpPr/>
      </xdr:nvGrpSpPr>
      <xdr:grpSpPr>
        <a:xfrm>
          <a:off x="12887996" y="4008011"/>
          <a:ext cx="5444826" cy="3944242"/>
          <a:chOff x="10547391" y="3952875"/>
          <a:chExt cx="4128253" cy="3515400"/>
        </a:xfrm>
      </xdr:grpSpPr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13CA5DBE-C240-6266-B87B-22865C228461}"/>
              </a:ext>
            </a:extLst>
          </xdr:cNvPr>
          <xdr:cNvSpPr/>
        </xdr:nvSpPr>
        <xdr:spPr>
          <a:xfrm>
            <a:off x="14332744" y="7136606"/>
            <a:ext cx="342900" cy="290512"/>
          </a:xfrm>
          <a:custGeom>
            <a:avLst/>
            <a:gdLst>
              <a:gd name="connsiteX0" fmla="*/ 0 w 342900"/>
              <a:gd name="connsiteY0" fmla="*/ 264319 h 290512"/>
              <a:gd name="connsiteX1" fmla="*/ 92869 w 342900"/>
              <a:gd name="connsiteY1" fmla="*/ 247650 h 290512"/>
              <a:gd name="connsiteX2" fmla="*/ 116681 w 342900"/>
              <a:gd name="connsiteY2" fmla="*/ 226219 h 290512"/>
              <a:gd name="connsiteX3" fmla="*/ 145256 w 342900"/>
              <a:gd name="connsiteY3" fmla="*/ 195262 h 290512"/>
              <a:gd name="connsiteX4" fmla="*/ 157162 w 342900"/>
              <a:gd name="connsiteY4" fmla="*/ 173831 h 290512"/>
              <a:gd name="connsiteX5" fmla="*/ 169069 w 342900"/>
              <a:gd name="connsiteY5" fmla="*/ 145256 h 290512"/>
              <a:gd name="connsiteX6" fmla="*/ 188119 w 342900"/>
              <a:gd name="connsiteY6" fmla="*/ 145256 h 290512"/>
              <a:gd name="connsiteX7" fmla="*/ 240506 w 342900"/>
              <a:gd name="connsiteY7" fmla="*/ 128587 h 290512"/>
              <a:gd name="connsiteX8" fmla="*/ 273844 w 342900"/>
              <a:gd name="connsiteY8" fmla="*/ 104775 h 290512"/>
              <a:gd name="connsiteX9" fmla="*/ 302419 w 342900"/>
              <a:gd name="connsiteY9" fmla="*/ 59531 h 290512"/>
              <a:gd name="connsiteX10" fmla="*/ 311944 w 342900"/>
              <a:gd name="connsiteY10" fmla="*/ 23812 h 290512"/>
              <a:gd name="connsiteX11" fmla="*/ 321469 w 342900"/>
              <a:gd name="connsiteY11" fmla="*/ 2381 h 290512"/>
              <a:gd name="connsiteX12" fmla="*/ 338137 w 342900"/>
              <a:gd name="connsiteY12" fmla="*/ 0 h 290512"/>
              <a:gd name="connsiteX13" fmla="*/ 342900 w 342900"/>
              <a:gd name="connsiteY13" fmla="*/ 290512 h 290512"/>
              <a:gd name="connsiteX14" fmla="*/ 0 w 342900"/>
              <a:gd name="connsiteY14" fmla="*/ 264319 h 2905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342900" h="290512">
                <a:moveTo>
                  <a:pt x="0" y="264319"/>
                </a:moveTo>
                <a:lnTo>
                  <a:pt x="92869" y="247650"/>
                </a:lnTo>
                <a:lnTo>
                  <a:pt x="116681" y="226219"/>
                </a:lnTo>
                <a:lnTo>
                  <a:pt x="145256" y="195262"/>
                </a:lnTo>
                <a:lnTo>
                  <a:pt x="157162" y="173831"/>
                </a:lnTo>
                <a:lnTo>
                  <a:pt x="169069" y="145256"/>
                </a:lnTo>
                <a:lnTo>
                  <a:pt x="188119" y="145256"/>
                </a:lnTo>
                <a:lnTo>
                  <a:pt x="240506" y="128587"/>
                </a:lnTo>
                <a:lnTo>
                  <a:pt x="273844" y="104775"/>
                </a:lnTo>
                <a:lnTo>
                  <a:pt x="302419" y="59531"/>
                </a:lnTo>
                <a:lnTo>
                  <a:pt x="311944" y="23812"/>
                </a:lnTo>
                <a:lnTo>
                  <a:pt x="321469" y="2381"/>
                </a:lnTo>
                <a:lnTo>
                  <a:pt x="338137" y="0"/>
                </a:lnTo>
                <a:cubicBezTo>
                  <a:pt x="339725" y="96837"/>
                  <a:pt x="341312" y="193675"/>
                  <a:pt x="342900" y="290512"/>
                </a:cubicBezTo>
                <a:lnTo>
                  <a:pt x="0" y="264319"/>
                </a:lnTo>
                <a:close/>
              </a:path>
            </a:pathLst>
          </a:cu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A9AE78D3-5E0D-31AC-F0C2-27FED14F73CD}"/>
              </a:ext>
            </a:extLst>
          </xdr:cNvPr>
          <xdr:cNvSpPr/>
        </xdr:nvSpPr>
        <xdr:spPr>
          <a:xfrm>
            <a:off x="10547391" y="4025859"/>
            <a:ext cx="214746" cy="195448"/>
          </a:xfrm>
          <a:custGeom>
            <a:avLst/>
            <a:gdLst>
              <a:gd name="connsiteX0" fmla="*/ 0 w 215240"/>
              <a:gd name="connsiteY0" fmla="*/ 0 h 195448"/>
              <a:gd name="connsiteX1" fmla="*/ 22266 w 215240"/>
              <a:gd name="connsiteY1" fmla="*/ 190500 h 195448"/>
              <a:gd name="connsiteX2" fmla="*/ 51954 w 215240"/>
              <a:gd name="connsiteY2" fmla="*/ 195448 h 195448"/>
              <a:gd name="connsiteX3" fmla="*/ 51954 w 215240"/>
              <a:gd name="connsiteY3" fmla="*/ 150916 h 195448"/>
              <a:gd name="connsiteX4" fmla="*/ 71747 w 215240"/>
              <a:gd name="connsiteY4" fmla="*/ 116279 h 195448"/>
              <a:gd name="connsiteX5" fmla="*/ 96487 w 215240"/>
              <a:gd name="connsiteY5" fmla="*/ 81643 h 195448"/>
              <a:gd name="connsiteX6" fmla="*/ 136071 w 215240"/>
              <a:gd name="connsiteY6" fmla="*/ 54429 h 195448"/>
              <a:gd name="connsiteX7" fmla="*/ 190500 w 215240"/>
              <a:gd name="connsiteY7" fmla="*/ 39585 h 195448"/>
              <a:gd name="connsiteX8" fmla="*/ 215240 w 215240"/>
              <a:gd name="connsiteY8" fmla="*/ 44533 h 195448"/>
              <a:gd name="connsiteX9" fmla="*/ 215240 w 215240"/>
              <a:gd name="connsiteY9" fmla="*/ 0 h 195448"/>
              <a:gd name="connsiteX10" fmla="*/ 0 w 215240"/>
              <a:gd name="connsiteY10" fmla="*/ 0 h 1954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15240" h="195448">
                <a:moveTo>
                  <a:pt x="0" y="0"/>
                </a:moveTo>
                <a:lnTo>
                  <a:pt x="22266" y="190500"/>
                </a:lnTo>
                <a:lnTo>
                  <a:pt x="51954" y="195448"/>
                </a:lnTo>
                <a:lnTo>
                  <a:pt x="51954" y="150916"/>
                </a:lnTo>
                <a:lnTo>
                  <a:pt x="71747" y="116279"/>
                </a:lnTo>
                <a:lnTo>
                  <a:pt x="96487" y="81643"/>
                </a:lnTo>
                <a:lnTo>
                  <a:pt x="136071" y="54429"/>
                </a:lnTo>
                <a:lnTo>
                  <a:pt x="190500" y="39585"/>
                </a:lnTo>
                <a:lnTo>
                  <a:pt x="215240" y="44533"/>
                </a:lnTo>
                <a:lnTo>
                  <a:pt x="21524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90A24B6C-434C-4EFE-998F-0EC4B8B9D4B7}"/>
              </a:ext>
            </a:extLst>
          </xdr:cNvPr>
          <xdr:cNvSpPr/>
        </xdr:nvSpPr>
        <xdr:spPr>
          <a:xfrm rot="15699752">
            <a:off x="10563224" y="7263178"/>
            <a:ext cx="214746" cy="195448"/>
          </a:xfrm>
          <a:custGeom>
            <a:avLst/>
            <a:gdLst>
              <a:gd name="connsiteX0" fmla="*/ 0 w 215240"/>
              <a:gd name="connsiteY0" fmla="*/ 0 h 195448"/>
              <a:gd name="connsiteX1" fmla="*/ 22266 w 215240"/>
              <a:gd name="connsiteY1" fmla="*/ 190500 h 195448"/>
              <a:gd name="connsiteX2" fmla="*/ 51954 w 215240"/>
              <a:gd name="connsiteY2" fmla="*/ 195448 h 195448"/>
              <a:gd name="connsiteX3" fmla="*/ 51954 w 215240"/>
              <a:gd name="connsiteY3" fmla="*/ 150916 h 195448"/>
              <a:gd name="connsiteX4" fmla="*/ 71747 w 215240"/>
              <a:gd name="connsiteY4" fmla="*/ 116279 h 195448"/>
              <a:gd name="connsiteX5" fmla="*/ 96487 w 215240"/>
              <a:gd name="connsiteY5" fmla="*/ 81643 h 195448"/>
              <a:gd name="connsiteX6" fmla="*/ 136071 w 215240"/>
              <a:gd name="connsiteY6" fmla="*/ 54429 h 195448"/>
              <a:gd name="connsiteX7" fmla="*/ 190500 w 215240"/>
              <a:gd name="connsiteY7" fmla="*/ 39585 h 195448"/>
              <a:gd name="connsiteX8" fmla="*/ 215240 w 215240"/>
              <a:gd name="connsiteY8" fmla="*/ 44533 h 195448"/>
              <a:gd name="connsiteX9" fmla="*/ 215240 w 215240"/>
              <a:gd name="connsiteY9" fmla="*/ 0 h 195448"/>
              <a:gd name="connsiteX10" fmla="*/ 0 w 215240"/>
              <a:gd name="connsiteY10" fmla="*/ 0 h 1954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15240" h="195448">
                <a:moveTo>
                  <a:pt x="0" y="0"/>
                </a:moveTo>
                <a:lnTo>
                  <a:pt x="22266" y="190500"/>
                </a:lnTo>
                <a:lnTo>
                  <a:pt x="51954" y="195448"/>
                </a:lnTo>
                <a:lnTo>
                  <a:pt x="51954" y="150916"/>
                </a:lnTo>
                <a:lnTo>
                  <a:pt x="71747" y="116279"/>
                </a:lnTo>
                <a:lnTo>
                  <a:pt x="96487" y="81643"/>
                </a:lnTo>
                <a:lnTo>
                  <a:pt x="136071" y="54429"/>
                </a:lnTo>
                <a:lnTo>
                  <a:pt x="190500" y="39585"/>
                </a:lnTo>
                <a:lnTo>
                  <a:pt x="215240" y="44533"/>
                </a:lnTo>
                <a:lnTo>
                  <a:pt x="21524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0CF3B5D3-CE0F-6E72-97E0-1C9778C90F53}"/>
              </a:ext>
            </a:extLst>
          </xdr:cNvPr>
          <xdr:cNvSpPr/>
        </xdr:nvSpPr>
        <xdr:spPr>
          <a:xfrm>
            <a:off x="10757679" y="3952875"/>
            <a:ext cx="3891771" cy="3325416"/>
          </a:xfrm>
          <a:custGeom>
            <a:avLst/>
            <a:gdLst>
              <a:gd name="connsiteX0" fmla="*/ 126930 w 3455032"/>
              <a:gd name="connsiteY0" fmla="*/ 0 h 2917906"/>
              <a:gd name="connsiteX1" fmla="*/ 3322384 w 3455032"/>
              <a:gd name="connsiteY1" fmla="*/ 0 h 2917906"/>
              <a:gd name="connsiteX2" fmla="*/ 3455032 w 3455032"/>
              <a:gd name="connsiteY2" fmla="*/ 132648 h 2917906"/>
              <a:gd name="connsiteX3" fmla="*/ 3455032 w 3455032"/>
              <a:gd name="connsiteY3" fmla="*/ 2785258 h 2917906"/>
              <a:gd name="connsiteX4" fmla="*/ 3322384 w 3455032"/>
              <a:gd name="connsiteY4" fmla="*/ 2917906 h 2917906"/>
              <a:gd name="connsiteX5" fmla="*/ 3316224 w 3455032"/>
              <a:gd name="connsiteY5" fmla="*/ 2917906 h 2917906"/>
              <a:gd name="connsiteX6" fmla="*/ 3321942 w 3455032"/>
              <a:gd name="connsiteY6" fmla="*/ 2889585 h 2917906"/>
              <a:gd name="connsiteX7" fmla="*/ 3321942 w 3455032"/>
              <a:gd name="connsiteY7" fmla="*/ 236975 h 2917906"/>
              <a:gd name="connsiteX8" fmla="*/ 3189294 w 3455032"/>
              <a:gd name="connsiteY8" fmla="*/ 104327 h 2917906"/>
              <a:gd name="connsiteX9" fmla="*/ 0 w 3455032"/>
              <a:gd name="connsiteY9" fmla="*/ 104327 h 2917906"/>
              <a:gd name="connsiteX10" fmla="*/ 4706 w 3455032"/>
              <a:gd name="connsiteY10" fmla="*/ 81016 h 2917906"/>
              <a:gd name="connsiteX11" fmla="*/ 126930 w 3455032"/>
              <a:gd name="connsiteY11" fmla="*/ 0 h 29179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455032" h="2917906">
                <a:moveTo>
                  <a:pt x="126930" y="0"/>
                </a:moveTo>
                <a:lnTo>
                  <a:pt x="3322384" y="0"/>
                </a:lnTo>
                <a:cubicBezTo>
                  <a:pt x="3395643" y="0"/>
                  <a:pt x="3455032" y="59389"/>
                  <a:pt x="3455032" y="132648"/>
                </a:cubicBezTo>
                <a:lnTo>
                  <a:pt x="3455032" y="2785258"/>
                </a:lnTo>
                <a:cubicBezTo>
                  <a:pt x="3455032" y="2858517"/>
                  <a:pt x="3395643" y="2917906"/>
                  <a:pt x="3322384" y="2917906"/>
                </a:cubicBezTo>
                <a:lnTo>
                  <a:pt x="3316224" y="2917906"/>
                </a:lnTo>
                <a:lnTo>
                  <a:pt x="3321942" y="2889585"/>
                </a:lnTo>
                <a:lnTo>
                  <a:pt x="3321942" y="236975"/>
                </a:lnTo>
                <a:cubicBezTo>
                  <a:pt x="3321942" y="163716"/>
                  <a:pt x="3262553" y="104327"/>
                  <a:pt x="3189294" y="104327"/>
                </a:cubicBezTo>
                <a:lnTo>
                  <a:pt x="0" y="104327"/>
                </a:lnTo>
                <a:lnTo>
                  <a:pt x="4706" y="81016"/>
                </a:lnTo>
                <a:cubicBezTo>
                  <a:pt x="24844" y="33406"/>
                  <a:pt x="71986" y="0"/>
                  <a:pt x="126930" y="0"/>
                </a:cubicBezTo>
                <a:close/>
              </a:path>
            </a:pathLst>
          </a:custGeom>
          <a:pattFill prst="pct10">
            <a:fgClr>
              <a:srgbClr val="038644"/>
            </a:fgClr>
            <a:bgClr>
              <a:srgbClr val="89C982"/>
            </a:bgClr>
          </a:pattFill>
          <a:ln>
            <a:solidFill>
              <a:srgbClr val="03864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CA"/>
          </a:p>
        </xdr:txBody>
      </xdr:sp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9EBBD732-2740-3A88-FF88-8B12C3BBEA6F}"/>
              </a:ext>
            </a:extLst>
          </xdr:cNvPr>
          <xdr:cNvSpPr/>
        </xdr:nvSpPr>
        <xdr:spPr>
          <a:xfrm>
            <a:off x="10601325" y="4071772"/>
            <a:ext cx="3898212" cy="3325416"/>
          </a:xfrm>
          <a:prstGeom prst="roundRect">
            <a:avLst>
              <a:gd name="adj" fmla="val 4546"/>
            </a:avLst>
          </a:prstGeom>
          <a:noFill/>
          <a:ln>
            <a:solidFill>
              <a:srgbClr val="03864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CA"/>
          </a:p>
        </xdr:txBody>
      </xdr:sp>
    </xdr:grpSp>
    <xdr:clientData/>
  </xdr:twoCellAnchor>
  <xdr:twoCellAnchor>
    <xdr:from>
      <xdr:col>22</xdr:col>
      <xdr:colOff>188457</xdr:colOff>
      <xdr:row>35</xdr:row>
      <xdr:rowOff>62805</xdr:rowOff>
    </xdr:from>
    <xdr:to>
      <xdr:col>23</xdr:col>
      <xdr:colOff>1084051</xdr:colOff>
      <xdr:row>38</xdr:row>
      <xdr:rowOff>26573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48D05EED-6218-D4DE-45C2-9E3ABCF05FA9}"/>
            </a:ext>
          </a:extLst>
        </xdr:cNvPr>
        <xdr:cNvGrpSpPr/>
      </xdr:nvGrpSpPr>
      <xdr:grpSpPr>
        <a:xfrm>
          <a:off x="13131251" y="6943217"/>
          <a:ext cx="1119712" cy="535268"/>
          <a:chOff x="12594188" y="6714866"/>
          <a:chExt cx="1270107" cy="596758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3EA1CBA1-40A5-8138-1F2A-66C815B758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634961" y="6714866"/>
            <a:ext cx="1229334" cy="530688"/>
          </a:xfrm>
          <a:prstGeom prst="rect">
            <a:avLst/>
          </a:prstGeom>
        </xdr:spPr>
      </xdr:pic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A63AD08B-2CAD-4036-8A9B-35B3FF557AFB}"/>
              </a:ext>
            </a:extLst>
          </xdr:cNvPr>
          <xdr:cNvCxnSpPr/>
        </xdr:nvCxnSpPr>
        <xdr:spPr>
          <a:xfrm>
            <a:off x="12594188" y="7311624"/>
            <a:ext cx="1261936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56367</xdr:colOff>
      <xdr:row>27</xdr:row>
      <xdr:rowOff>104670</xdr:rowOff>
    </xdr:from>
    <xdr:to>
      <xdr:col>23</xdr:col>
      <xdr:colOff>1024278</xdr:colOff>
      <xdr:row>31</xdr:row>
      <xdr:rowOff>102922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73CFB08-EE6D-9100-812A-6737F52E1ECD}"/>
            </a:ext>
          </a:extLst>
        </xdr:cNvPr>
        <xdr:cNvGrpSpPr/>
      </xdr:nvGrpSpPr>
      <xdr:grpSpPr>
        <a:xfrm>
          <a:off x="13223279" y="5259376"/>
          <a:ext cx="967911" cy="894722"/>
          <a:chOff x="13060842" y="4879116"/>
          <a:chExt cx="1261936" cy="1116747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29A2D2F7-4E66-4BAF-AA39-016B043CB6BB}"/>
              </a:ext>
            </a:extLst>
          </xdr:cNvPr>
          <xdr:cNvGrpSpPr/>
        </xdr:nvGrpSpPr>
        <xdr:grpSpPr>
          <a:xfrm>
            <a:off x="13129993" y="4879116"/>
            <a:ext cx="1119089" cy="949391"/>
            <a:chOff x="10668076" y="4889366"/>
            <a:chExt cx="754777" cy="726566"/>
          </a:xfrm>
        </xdr:grpSpPr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6DC80F83-9A08-4597-A93D-277E0637D36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>
              <a:off x="11198787" y="5189060"/>
              <a:ext cx="224066" cy="426872"/>
            </a:xfrm>
            <a:prstGeom prst="rect">
              <a:avLst/>
            </a:prstGeom>
          </xdr:spPr>
        </xdr:pic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D38F6ED6-0219-41DE-A86E-547853338D9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>
              <a:off x="10668076" y="5080759"/>
              <a:ext cx="280840" cy="533553"/>
            </a:xfrm>
            <a:prstGeom prst="rect">
              <a:avLst/>
            </a:prstGeom>
          </xdr:spPr>
        </xdr:pic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1DBED494-0755-71E1-89FA-FB06A194CB6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tretch>
              <a:fillRect/>
            </a:stretch>
          </xdr:blipFill>
          <xdr:spPr>
            <a:xfrm>
              <a:off x="10873549" y="4889366"/>
              <a:ext cx="380269" cy="722228"/>
            </a:xfrm>
            <a:prstGeom prst="rect">
              <a:avLst/>
            </a:prstGeom>
          </xdr:spPr>
        </xdr:pic>
      </xdr:grp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A1440D6C-6FF4-43CC-8895-47B0472E7503}"/>
              </a:ext>
            </a:extLst>
          </xdr:cNvPr>
          <xdr:cNvCxnSpPr/>
        </xdr:nvCxnSpPr>
        <xdr:spPr>
          <a:xfrm>
            <a:off x="13060842" y="5995863"/>
            <a:ext cx="1261936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28</xdr:col>
      <xdr:colOff>205292</xdr:colOff>
      <xdr:row>1</xdr:row>
      <xdr:rowOff>91485</xdr:rowOff>
    </xdr:from>
    <xdr:to>
      <xdr:col>32</xdr:col>
      <xdr:colOff>151482</xdr:colOff>
      <xdr:row>3</xdr:row>
      <xdr:rowOff>190501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5428739-E57A-4DFF-8508-24601F742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86" b="12986"/>
        <a:stretch/>
      </xdr:blipFill>
      <xdr:spPr>
        <a:xfrm>
          <a:off x="16868439" y="281985"/>
          <a:ext cx="1548631" cy="636898"/>
        </a:xfrm>
        <a:prstGeom prst="rect">
          <a:avLst/>
        </a:prstGeom>
      </xdr:spPr>
    </xdr:pic>
    <xdr:clientData/>
  </xdr:twoCellAnchor>
  <xdr:twoCellAnchor>
    <xdr:from>
      <xdr:col>9</xdr:col>
      <xdr:colOff>379787</xdr:colOff>
      <xdr:row>40</xdr:row>
      <xdr:rowOff>87338</xdr:rowOff>
    </xdr:from>
    <xdr:to>
      <xdr:col>10</xdr:col>
      <xdr:colOff>1226</xdr:colOff>
      <xdr:row>41</xdr:row>
      <xdr:rowOff>89019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1CAE89D-4CDE-4D33-BB7D-53969306CBD1}"/>
            </a:ext>
          </a:extLst>
        </xdr:cNvPr>
        <xdr:cNvSpPr/>
      </xdr:nvSpPr>
      <xdr:spPr>
        <a:xfrm>
          <a:off x="5717974" y="7728272"/>
          <a:ext cx="165725" cy="179621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180000" rtlCol="0" anchor="t"/>
        <a:lstStyle/>
        <a:p>
          <a:pPr algn="ctr"/>
          <a:endParaRPr lang="en-CA" sz="11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sia Boyd" id="{0B5467B2-417D-42E0-AC52-85B2D6209CE9}" userId="S::Kasia.Boyd@arup.com::c90cb18e-2937-4dca-a140-3819afcf4da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4-10-22T20:04:30.13" personId="{0B5467B2-417D-42E0-AC52-85B2D6209CE9}" id="{1232B826-0F0B-426A-B602-335C4B26865D}" done="1">
    <text>Revise to ft2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energy/greenhouse-gas-equivalencies-calculator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learnmetrics.com/m3-gas-to-kwh/" TargetMode="External"/><Relationship Id="rId1" Type="http://schemas.openxmlformats.org/officeDocument/2006/relationships/hyperlink" Target="https://www.canada.ca/en/environment-climate-change/services/climate-change/pricing-pollution-how-it-will-work/output-based-pricing-system/federal-greenhouse-gas-offset-system/emission-factors-reference-values.html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6A2E-C649-4A58-8C62-3B13143755C2}">
  <dimension ref="A3:BL32"/>
  <sheetViews>
    <sheetView workbookViewId="0"/>
  </sheetViews>
  <sheetFormatPr defaultColWidth="9.140625" defaultRowHeight="14.25" x14ac:dyDescent="0.2"/>
  <cols>
    <col min="1" max="1" width="9.140625" style="26"/>
    <col min="2" max="2" width="8.42578125" style="26" customWidth="1"/>
    <col min="3" max="64" width="9.140625" style="26"/>
    <col min="65" max="16384" width="9.140625" style="27"/>
  </cols>
  <sheetData>
    <row r="3" spans="2:18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18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2:18" ht="33.75" x14ac:dyDescent="0.5">
      <c r="B5" s="173" t="s">
        <v>85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2:18" x14ac:dyDescent="0.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2:18" ht="45.75" x14ac:dyDescent="0.2">
      <c r="B7" s="174" t="s">
        <v>169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</row>
    <row r="8" spans="2:18" ht="27.75" customHeigh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2:18" ht="15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</row>
    <row r="10" spans="2:18" s="26" customFormat="1" ht="8.25" customHeigh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2:18" s="26" customFormat="1" ht="15" x14ac:dyDescent="0.25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</row>
    <row r="12" spans="2:18" s="26" customFormat="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2:18" s="26" customFormat="1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8" s="26" customFormat="1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2:18" s="26" customFormat="1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8" s="26" customFormat="1" x14ac:dyDescent="0.2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2:18" s="26" customForma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8" s="26" customForma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2:18" s="26" customFormat="1" x14ac:dyDescent="0.2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8" s="26" customForma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2:18" s="26" customFormat="1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8" s="26" customFormat="1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2:18" s="26" customFormat="1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2:18" s="26" customFormat="1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2:18" s="26" customFormat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2:18" s="26" customFormat="1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2:18" s="26" customFormat="1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2:18" s="26" customFormat="1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18" s="26" customFormat="1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2:18" s="26" customFormat="1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2:18" s="26" customFormat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2:18" s="26" customFormat="1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</sheetData>
  <sheetProtection sheet="1" objects="1" scenarios="1" selectLockedCells="1" selectUnlockedCells="1"/>
  <mergeCells count="4">
    <mergeCell ref="B5:R5"/>
    <mergeCell ref="B7:R7"/>
    <mergeCell ref="B9:R9"/>
    <mergeCell ref="B11:R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C613-C6EA-410A-99F9-FF576D083D99}">
  <sheetPr>
    <pageSetUpPr fitToPage="1"/>
  </sheetPr>
  <dimension ref="A2:BQ44"/>
  <sheetViews>
    <sheetView tabSelected="1" zoomScale="85" zoomScaleNormal="85" workbookViewId="0">
      <selection activeCell="F14" sqref="F14:G14"/>
    </sheetView>
  </sheetViews>
  <sheetFormatPr defaultColWidth="8.85546875" defaultRowHeight="15" x14ac:dyDescent="0.25"/>
  <cols>
    <col min="1" max="1" width="2.42578125" style="30" customWidth="1"/>
    <col min="2" max="2" width="3.140625" style="30" customWidth="1"/>
    <col min="3" max="3" width="2.42578125" style="30" customWidth="1"/>
    <col min="4" max="4" width="5.42578125" style="30" customWidth="1"/>
    <col min="5" max="5" width="18" style="30" customWidth="1"/>
    <col min="6" max="6" width="16.7109375" style="30" customWidth="1"/>
    <col min="7" max="7" width="13.7109375" style="30" customWidth="1"/>
    <col min="8" max="8" width="7.5703125" style="30" customWidth="1"/>
    <col min="9" max="9" width="10.85546875" style="30" customWidth="1"/>
    <col min="10" max="10" width="8.140625" style="30" customWidth="1"/>
    <col min="11" max="11" width="3.42578125" style="30" customWidth="1"/>
    <col min="12" max="12" width="2.28515625" style="30" customWidth="1"/>
    <col min="13" max="13" width="1.5703125" style="30" customWidth="1"/>
    <col min="14" max="14" width="12.7109375" style="30" customWidth="1"/>
    <col min="15" max="15" width="4.42578125" style="30" customWidth="1"/>
    <col min="16" max="16" width="12.5703125" style="30" customWidth="1"/>
    <col min="17" max="17" width="12" style="30" customWidth="1"/>
    <col min="18" max="18" width="18.140625" style="30" customWidth="1"/>
    <col min="19" max="19" width="7.85546875" style="30" customWidth="1"/>
    <col min="20" max="20" width="11.7109375" style="30" customWidth="1"/>
    <col min="21" max="21" width="9" style="30" customWidth="1"/>
    <col min="22" max="22" width="10.140625" style="30" customWidth="1"/>
    <col min="23" max="23" width="3.42578125" style="30" customWidth="1"/>
    <col min="24" max="24" width="17.7109375" style="30" customWidth="1"/>
    <col min="25" max="25" width="10.7109375" style="30" customWidth="1"/>
    <col min="26" max="26" width="5.42578125" style="30" customWidth="1"/>
    <col min="27" max="27" width="13.7109375" style="30" customWidth="1"/>
    <col min="28" max="28" width="4.85546875" style="30" customWidth="1"/>
    <col min="29" max="29" width="4.7109375" style="30" customWidth="1"/>
    <col min="30" max="30" width="13.42578125" style="30" customWidth="1"/>
    <col min="31" max="31" width="3.140625" style="30" customWidth="1"/>
    <col min="32" max="33" width="2.7109375" style="30" customWidth="1"/>
    <col min="34" max="34" width="2.42578125" style="30" customWidth="1"/>
    <col min="35" max="35" width="2.42578125" style="29" customWidth="1"/>
    <col min="36" max="69" width="8.85546875" style="29"/>
    <col min="70" max="16384" width="8.85546875" style="14"/>
  </cols>
  <sheetData>
    <row r="2" spans="2:34" ht="10.5" customHeight="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2:34" ht="31.5" customHeight="1" x14ac:dyDescent="0.25">
      <c r="B3" s="31"/>
      <c r="C3" s="191" t="s">
        <v>169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65"/>
      <c r="X3" s="65"/>
      <c r="Y3" s="43"/>
      <c r="Z3" s="43"/>
      <c r="AA3"/>
      <c r="AB3" s="43"/>
      <c r="AC3" s="43"/>
      <c r="AD3" s="43"/>
      <c r="AE3" s="43"/>
      <c r="AF3" s="43"/>
      <c r="AG3" s="43"/>
      <c r="AH3" s="31"/>
    </row>
    <row r="4" spans="2:34" ht="22.5" customHeight="1" x14ac:dyDescent="0.25">
      <c r="B4" s="31"/>
      <c r="C4" s="194" t="s">
        <v>173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31"/>
    </row>
    <row r="5" spans="2:34" ht="3.75" customHeight="1" x14ac:dyDescent="0.25">
      <c r="B5" s="3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31"/>
    </row>
    <row r="6" spans="2:34" ht="9.7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2:34" x14ac:dyDescent="0.25">
      <c r="B7" s="31"/>
      <c r="C7" s="38"/>
      <c r="D7" s="42"/>
      <c r="E7" s="42"/>
      <c r="F7" s="42"/>
      <c r="G7" s="42"/>
      <c r="H7" s="42"/>
      <c r="I7" s="42"/>
      <c r="J7" s="42"/>
      <c r="K7" s="31"/>
      <c r="L7" s="48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  <c r="AH7" s="31"/>
    </row>
    <row r="8" spans="2:34" ht="15" customHeight="1" x14ac:dyDescent="0.3">
      <c r="B8" s="31"/>
      <c r="C8" s="38"/>
      <c r="D8" s="195" t="s">
        <v>297</v>
      </c>
      <c r="E8" s="195"/>
      <c r="F8" s="195"/>
      <c r="G8" s="195"/>
      <c r="H8" s="195"/>
      <c r="I8" s="195"/>
      <c r="J8" s="42"/>
      <c r="K8" s="31"/>
      <c r="L8" s="51"/>
      <c r="M8" s="166" t="s">
        <v>299</v>
      </c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3"/>
      <c r="AH8" s="31"/>
    </row>
    <row r="9" spans="2:34" x14ac:dyDescent="0.25">
      <c r="B9" s="31"/>
      <c r="C9" s="38"/>
      <c r="D9" s="195"/>
      <c r="E9" s="195"/>
      <c r="F9" s="195"/>
      <c r="G9" s="195"/>
      <c r="H9" s="195"/>
      <c r="I9" s="195"/>
      <c r="J9" s="42"/>
      <c r="K9" s="31"/>
      <c r="L9" s="51"/>
      <c r="M9" s="52" t="s">
        <v>164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31"/>
    </row>
    <row r="10" spans="2:34" x14ac:dyDescent="0.25">
      <c r="B10" s="31"/>
      <c r="C10" s="38"/>
      <c r="D10" s="195"/>
      <c r="E10" s="195"/>
      <c r="F10" s="195"/>
      <c r="G10" s="195"/>
      <c r="H10" s="195"/>
      <c r="I10" s="195"/>
      <c r="J10" s="42"/>
      <c r="K10" s="31"/>
      <c r="L10" s="51"/>
      <c r="M10" s="52"/>
      <c r="N10" s="52"/>
      <c r="O10" s="52"/>
      <c r="P10" s="8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3"/>
      <c r="AH10" s="31"/>
    </row>
    <row r="11" spans="2:34" ht="6" customHeight="1" x14ac:dyDescent="0.25">
      <c r="B11" s="31"/>
      <c r="C11" s="38"/>
      <c r="D11" s="195"/>
      <c r="E11" s="195"/>
      <c r="F11" s="195"/>
      <c r="G11" s="195"/>
      <c r="H11" s="195"/>
      <c r="I11" s="195"/>
      <c r="J11" s="42"/>
      <c r="K11" s="31"/>
      <c r="L11" s="51"/>
      <c r="M11" s="84"/>
      <c r="N11" s="84"/>
      <c r="O11" s="84"/>
      <c r="P11" s="85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53"/>
      <c r="AH11" s="31"/>
    </row>
    <row r="12" spans="2:34" ht="15.75" customHeight="1" x14ac:dyDescent="0.25">
      <c r="B12" s="31"/>
      <c r="C12" s="38"/>
      <c r="D12" s="187" t="s">
        <v>174</v>
      </c>
      <c r="E12" s="187"/>
      <c r="F12" s="187"/>
      <c r="G12" s="187"/>
      <c r="H12" s="207" t="s">
        <v>283</v>
      </c>
      <c r="I12" s="207"/>
      <c r="J12" s="207"/>
      <c r="K12" s="31"/>
      <c r="L12" s="32"/>
      <c r="M12" s="85"/>
      <c r="N12" s="86" t="s">
        <v>91</v>
      </c>
      <c r="O12" s="85"/>
      <c r="P12" s="85" t="s">
        <v>89</v>
      </c>
      <c r="Q12" s="85"/>
      <c r="R12" s="205" t="str">
        <f>IFERROR('Tool Calc Sheet'!D113,"")</f>
        <v/>
      </c>
      <c r="S12" s="205"/>
      <c r="T12" s="205"/>
      <c r="U12" s="85" t="s">
        <v>90</v>
      </c>
      <c r="V12" s="85"/>
      <c r="W12" s="205" t="str">
        <f>IFERROR('Tool Calc Sheet'!E113,"")</f>
        <v/>
      </c>
      <c r="X12" s="205"/>
      <c r="Y12" s="87" t="s">
        <v>162</v>
      </c>
      <c r="Z12" s="85"/>
      <c r="AA12" s="85"/>
      <c r="AB12" s="85"/>
      <c r="AC12" s="85"/>
      <c r="AD12" s="85"/>
      <c r="AE12" s="85"/>
      <c r="AF12" s="85"/>
      <c r="AG12" s="33"/>
      <c r="AH12" s="31"/>
    </row>
    <row r="13" spans="2:34" ht="15.75" customHeight="1" x14ac:dyDescent="0.25">
      <c r="B13" s="31"/>
      <c r="C13" s="38"/>
      <c r="D13" s="187"/>
      <c r="E13" s="187"/>
      <c r="F13" s="187"/>
      <c r="G13" s="187"/>
      <c r="H13" s="207"/>
      <c r="I13" s="207"/>
      <c r="J13" s="207"/>
      <c r="K13" s="31"/>
      <c r="L13" s="32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33"/>
      <c r="AH13" s="31"/>
    </row>
    <row r="14" spans="2:34" ht="18" customHeight="1" x14ac:dyDescent="0.25">
      <c r="B14" s="31"/>
      <c r="C14" s="38"/>
      <c r="D14" s="37"/>
      <c r="E14" s="39" t="s">
        <v>1</v>
      </c>
      <c r="F14" s="189"/>
      <c r="G14" s="190"/>
      <c r="H14" s="178" t="e">
        <f>'Tool Calc Sheet'!D6</f>
        <v>#N/A</v>
      </c>
      <c r="I14" s="178"/>
      <c r="J14" s="178"/>
      <c r="K14" s="31"/>
      <c r="L14" s="54"/>
      <c r="M14" s="88"/>
      <c r="N14" s="86" t="s">
        <v>196</v>
      </c>
      <c r="O14" s="88"/>
      <c r="P14" s="85" t="str">
        <f>IFERROR(IF('Tool Calc Sheet'!D81&lt;0,"With increased electricity consumption, annual utility bills will increase by ","With reduced energy consumption, annual utility bills will decrease by "),"")</f>
        <v/>
      </c>
      <c r="Q14" s="88"/>
      <c r="R14" s="88"/>
      <c r="S14" s="88"/>
      <c r="T14" s="88"/>
      <c r="U14" s="88"/>
      <c r="V14" s="205" t="str">
        <f>IFERROR('Tool Calc Sheet'!D114,"")</f>
        <v/>
      </c>
      <c r="W14" s="205"/>
      <c r="X14" s="205"/>
      <c r="Y14" s="205"/>
      <c r="Z14" s="87" t="str">
        <f>IFERROR(IF('Tool Calc Sheet'!D81&lt;0,", a increase of "," a decrease of "),"")</f>
        <v/>
      </c>
      <c r="AA14" s="88"/>
      <c r="AB14" s="88"/>
      <c r="AC14" s="205" t="str">
        <f>IFERROR('Tool Calc Sheet'!E114,"")</f>
        <v/>
      </c>
      <c r="AD14" s="205"/>
      <c r="AE14" s="205"/>
      <c r="AF14" s="88"/>
      <c r="AG14" s="56"/>
      <c r="AH14" s="31"/>
    </row>
    <row r="15" spans="2:34" x14ac:dyDescent="0.25">
      <c r="B15" s="31"/>
      <c r="C15" s="38"/>
      <c r="D15" s="37"/>
      <c r="E15" s="39"/>
      <c r="F15" s="39"/>
      <c r="G15" s="39"/>
      <c r="H15" s="178"/>
      <c r="I15" s="178"/>
      <c r="J15" s="178"/>
      <c r="K15" s="31"/>
      <c r="L15" s="54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56"/>
      <c r="AH15" s="31"/>
    </row>
    <row r="16" spans="2:34" ht="17.25" customHeight="1" x14ac:dyDescent="0.25">
      <c r="B16" s="31"/>
      <c r="C16" s="38"/>
      <c r="D16" s="38"/>
      <c r="E16" s="39" t="s">
        <v>2</v>
      </c>
      <c r="F16" s="93"/>
      <c r="G16" s="38" t="s">
        <v>170</v>
      </c>
      <c r="H16" s="178"/>
      <c r="I16" s="178"/>
      <c r="J16" s="178"/>
      <c r="K16" s="31"/>
      <c r="L16" s="54"/>
      <c r="M16" s="88"/>
      <c r="N16" s="86" t="s">
        <v>197</v>
      </c>
      <c r="O16" s="89"/>
      <c r="P16" s="85" t="s">
        <v>161</v>
      </c>
      <c r="Q16" s="92"/>
      <c r="R16" s="92"/>
      <c r="S16" s="92"/>
      <c r="T16" s="92"/>
      <c r="U16" s="92"/>
      <c r="V16" s="205" t="str">
        <f>IFERROR('Tool Calc Sheet'!D115,"")</f>
        <v/>
      </c>
      <c r="W16" s="205"/>
      <c r="X16" s="205"/>
      <c r="Y16" s="205"/>
      <c r="Z16" s="205"/>
      <c r="AA16" s="85" t="s">
        <v>300</v>
      </c>
      <c r="AB16" s="92"/>
      <c r="AC16" s="92"/>
      <c r="AD16" s="205" t="str">
        <f>IFERROR('Tool Calc Sheet'!E115,"")</f>
        <v/>
      </c>
      <c r="AE16" s="205"/>
      <c r="AF16" s="89"/>
      <c r="AG16" s="56"/>
      <c r="AH16" s="31"/>
    </row>
    <row r="17" spans="2:34" ht="5.25" customHeight="1" x14ac:dyDescent="0.25">
      <c r="B17" s="31"/>
      <c r="C17" s="38"/>
      <c r="D17" s="187" t="s">
        <v>298</v>
      </c>
      <c r="E17" s="187"/>
      <c r="F17" s="187"/>
      <c r="G17" s="187"/>
      <c r="H17" s="187"/>
      <c r="I17" s="187"/>
      <c r="J17" s="36"/>
      <c r="K17" s="31"/>
      <c r="L17" s="54"/>
      <c r="M17" s="88"/>
      <c r="N17" s="88"/>
      <c r="O17" s="88"/>
      <c r="P17" s="206" t="s">
        <v>163</v>
      </c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88"/>
      <c r="AB17" s="88"/>
      <c r="AC17" s="88"/>
      <c r="AD17" s="88"/>
      <c r="AE17" s="88"/>
      <c r="AF17" s="88"/>
      <c r="AG17" s="56"/>
      <c r="AH17" s="31"/>
    </row>
    <row r="18" spans="2:34" ht="19.5" customHeight="1" x14ac:dyDescent="0.25">
      <c r="B18" s="31"/>
      <c r="C18" s="38"/>
      <c r="D18" s="187"/>
      <c r="E18" s="187"/>
      <c r="F18" s="187"/>
      <c r="G18" s="187"/>
      <c r="H18" s="187"/>
      <c r="I18" s="187"/>
      <c r="J18" s="36"/>
      <c r="K18" s="31"/>
      <c r="L18" s="57"/>
      <c r="M18" s="89"/>
      <c r="N18" s="88"/>
      <c r="O18" s="89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92"/>
      <c r="AB18" s="92"/>
      <c r="AC18" s="92"/>
      <c r="AD18" s="92"/>
      <c r="AE18" s="92"/>
      <c r="AF18" s="89"/>
      <c r="AG18" s="59"/>
      <c r="AH18" s="31"/>
    </row>
    <row r="19" spans="2:34" ht="15.6" customHeight="1" x14ac:dyDescent="0.25">
      <c r="B19" s="31"/>
      <c r="C19" s="38"/>
      <c r="D19" s="39"/>
      <c r="E19" s="44" t="s">
        <v>0</v>
      </c>
      <c r="F19" s="196"/>
      <c r="G19" s="197"/>
      <c r="H19" s="197"/>
      <c r="I19" s="198"/>
      <c r="J19" s="38"/>
      <c r="K19" s="31"/>
      <c r="L19" s="57"/>
      <c r="M19" s="58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9"/>
      <c r="AH19" s="31"/>
    </row>
    <row r="20" spans="2:34" ht="15.6" customHeight="1" x14ac:dyDescent="0.25">
      <c r="B20" s="31"/>
      <c r="C20" s="38"/>
      <c r="D20" s="39"/>
      <c r="E20" s="44"/>
      <c r="F20" s="199"/>
      <c r="G20" s="200"/>
      <c r="H20" s="200"/>
      <c r="I20" s="201"/>
      <c r="J20" s="38"/>
      <c r="K20" s="31"/>
      <c r="L20" s="46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47"/>
      <c r="AH20" s="31"/>
    </row>
    <row r="21" spans="2:34" ht="15" customHeight="1" x14ac:dyDescent="0.25">
      <c r="B21" s="31"/>
      <c r="C21" s="38"/>
      <c r="D21" s="39"/>
      <c r="E21" s="44"/>
      <c r="F21" s="202"/>
      <c r="G21" s="203"/>
      <c r="H21" s="203"/>
      <c r="I21" s="204"/>
      <c r="J21" s="38"/>
      <c r="K21" s="31"/>
      <c r="L21" s="54"/>
      <c r="M21" s="172" t="str">
        <f>"Estimated Annual Total Building "&amp;O23</f>
        <v>Estimated Annual Total Building Energy (ekWh)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6"/>
      <c r="AH21" s="31"/>
    </row>
    <row r="22" spans="2:34" ht="15" customHeight="1" x14ac:dyDescent="0.25">
      <c r="B22" s="31"/>
      <c r="C22" s="38"/>
      <c r="D22" s="187" t="s">
        <v>88</v>
      </c>
      <c r="E22" s="187"/>
      <c r="F22" s="187"/>
      <c r="G22" s="187"/>
      <c r="H22" s="187"/>
      <c r="I22" s="187"/>
      <c r="J22" s="36"/>
      <c r="K22" s="31"/>
      <c r="L22" s="54"/>
      <c r="M22" s="55"/>
      <c r="N22" s="55"/>
      <c r="O22" s="55"/>
      <c r="P22" s="55"/>
      <c r="Q22" s="55"/>
      <c r="R22" s="55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5"/>
      <c r="AD22" s="55"/>
      <c r="AE22" s="31"/>
      <c r="AF22" s="31"/>
      <c r="AG22" s="56"/>
      <c r="AH22" s="31"/>
    </row>
    <row r="23" spans="2:34" ht="15" customHeight="1" x14ac:dyDescent="0.25">
      <c r="B23" s="31"/>
      <c r="C23" s="38"/>
      <c r="D23" s="187"/>
      <c r="E23" s="187"/>
      <c r="F23" s="187"/>
      <c r="G23" s="187"/>
      <c r="H23" s="187"/>
      <c r="I23" s="187"/>
      <c r="J23" s="36"/>
      <c r="K23" s="31"/>
      <c r="L23" s="54"/>
      <c r="M23" s="55"/>
      <c r="N23" s="35" t="s">
        <v>84</v>
      </c>
      <c r="O23" s="189" t="s">
        <v>175</v>
      </c>
      <c r="P23" s="192"/>
      <c r="Q23" s="193"/>
      <c r="R23" s="55"/>
      <c r="S23" s="58"/>
      <c r="T23" s="58"/>
      <c r="U23" s="58"/>
      <c r="V23" s="31"/>
      <c r="W23" s="61"/>
      <c r="X23" s="61"/>
      <c r="Y23" s="61"/>
      <c r="Z23" s="61"/>
      <c r="AA23" s="61"/>
      <c r="AB23" s="61"/>
      <c r="AC23" s="61"/>
      <c r="AD23" s="61"/>
      <c r="AE23" s="62"/>
      <c r="AF23" s="62"/>
      <c r="AG23" s="56"/>
      <c r="AH23" s="31"/>
    </row>
    <row r="24" spans="2:34" ht="15" customHeight="1" x14ac:dyDescent="0.25">
      <c r="B24" s="31"/>
      <c r="C24" s="38"/>
      <c r="D24" s="45"/>
      <c r="E24" s="186" t="s">
        <v>96</v>
      </c>
      <c r="F24" s="186"/>
      <c r="G24" s="186"/>
      <c r="H24" s="186"/>
      <c r="I24" s="186"/>
      <c r="J24" s="40"/>
      <c r="K24" s="31"/>
      <c r="L24" s="54"/>
      <c r="M24" s="181" t="str">
        <f>O23</f>
        <v>Energy (ekWh)</v>
      </c>
      <c r="N24" s="181"/>
      <c r="O24" s="55"/>
      <c r="P24" s="55"/>
      <c r="Q24" s="55"/>
      <c r="R24" s="55"/>
      <c r="S24" s="58"/>
      <c r="T24" s="58"/>
      <c r="U24" s="58"/>
      <c r="V24" s="58"/>
      <c r="W24" s="61"/>
      <c r="X24" s="182" t="s">
        <v>301</v>
      </c>
      <c r="Y24" s="182"/>
      <c r="Z24" s="182"/>
      <c r="AA24" s="182"/>
      <c r="AB24" s="182"/>
      <c r="AC24" s="182"/>
      <c r="AD24" s="182"/>
      <c r="AE24" s="62"/>
      <c r="AF24" s="62"/>
      <c r="AG24" s="56"/>
      <c r="AH24" s="31"/>
    </row>
    <row r="25" spans="2:34" ht="14.45" customHeight="1" x14ac:dyDescent="0.25">
      <c r="B25" s="31"/>
      <c r="C25" s="38"/>
      <c r="D25" s="45"/>
      <c r="E25" s="186"/>
      <c r="F25" s="186"/>
      <c r="G25" s="186"/>
      <c r="H25" s="186"/>
      <c r="I25" s="186"/>
      <c r="J25" s="40"/>
      <c r="K25" s="31"/>
      <c r="L25" s="57"/>
      <c r="M25" s="181"/>
      <c r="N25" s="181"/>
      <c r="O25" s="58"/>
      <c r="P25" s="58"/>
      <c r="Q25" s="58"/>
      <c r="R25" s="58"/>
      <c r="S25" s="58"/>
      <c r="T25" s="58"/>
      <c r="U25" s="58"/>
      <c r="V25" s="58"/>
      <c r="W25" s="61"/>
      <c r="X25" s="182"/>
      <c r="Y25" s="182"/>
      <c r="Z25" s="182"/>
      <c r="AA25" s="182"/>
      <c r="AB25" s="182"/>
      <c r="AC25" s="182"/>
      <c r="AD25" s="182"/>
      <c r="AE25" s="62"/>
      <c r="AF25" s="62"/>
      <c r="AG25" s="59"/>
      <c r="AH25" s="31"/>
    </row>
    <row r="26" spans="2:34" ht="19.5" customHeight="1" x14ac:dyDescent="0.25">
      <c r="B26" s="31"/>
      <c r="C26" s="38"/>
      <c r="D26" s="45"/>
      <c r="E26" s="186"/>
      <c r="F26" s="186"/>
      <c r="G26" s="186"/>
      <c r="H26" s="186"/>
      <c r="I26" s="186"/>
      <c r="J26" s="40"/>
      <c r="K26" s="31"/>
      <c r="L26" s="57"/>
      <c r="M26" s="181"/>
      <c r="N26" s="181"/>
      <c r="O26" s="60"/>
      <c r="P26" s="60"/>
      <c r="Q26" s="60"/>
      <c r="R26" s="60"/>
      <c r="S26" s="58"/>
      <c r="T26" s="58"/>
      <c r="U26" s="60"/>
      <c r="V26" s="31"/>
      <c r="W26" s="62"/>
      <c r="X26" s="182"/>
      <c r="Y26" s="182"/>
      <c r="Z26" s="182"/>
      <c r="AA26" s="182"/>
      <c r="AB26" s="182"/>
      <c r="AC26" s="182"/>
      <c r="AD26" s="182"/>
      <c r="AE26" s="62"/>
      <c r="AF26" s="62"/>
      <c r="AG26" s="59"/>
      <c r="AH26" s="31"/>
    </row>
    <row r="27" spans="2:34" ht="15.75" customHeight="1" x14ac:dyDescent="0.4">
      <c r="B27" s="31"/>
      <c r="C27" s="38"/>
      <c r="D27" s="40"/>
      <c r="E27" s="40"/>
      <c r="F27" s="40"/>
      <c r="G27" s="40"/>
      <c r="H27" s="64" t="s">
        <v>95</v>
      </c>
      <c r="I27" s="38"/>
      <c r="J27" s="41"/>
      <c r="K27" s="31"/>
      <c r="L27" s="57"/>
      <c r="M27" s="181"/>
      <c r="N27" s="181"/>
      <c r="O27" s="58"/>
      <c r="P27" s="58"/>
      <c r="Q27" s="58"/>
      <c r="R27" s="58"/>
      <c r="S27" s="58"/>
      <c r="T27" s="58"/>
      <c r="U27" s="58"/>
      <c r="V27" s="31"/>
      <c r="W27" s="62"/>
      <c r="X27" s="62"/>
      <c r="Y27" s="169"/>
      <c r="Z27" s="169"/>
      <c r="AA27" s="169"/>
      <c r="AB27" s="169"/>
      <c r="AC27" s="169"/>
      <c r="AD27" s="169"/>
      <c r="AE27" s="62"/>
      <c r="AF27" s="62"/>
      <c r="AG27" s="59"/>
      <c r="AH27" s="31"/>
    </row>
    <row r="28" spans="2:34" ht="18" customHeight="1" x14ac:dyDescent="0.4">
      <c r="B28" s="31"/>
      <c r="C28" s="38"/>
      <c r="D28" s="39"/>
      <c r="E28" s="39" t="s">
        <v>4</v>
      </c>
      <c r="F28" s="94"/>
      <c r="G28" s="38" t="s">
        <v>219</v>
      </c>
      <c r="H28" s="102" t="str">
        <f>TEXT(ROUNDUP('Tool Calc Sheet'!D15,VLOOKUP('Tool Calc Sheet'!D15,'Tool Calc Sheet'!$G$112:$H$119,2,TRUE)),"#,###0")&amp;" m³/year"</f>
        <v>0 m³/year</v>
      </c>
      <c r="I28" s="38"/>
      <c r="J28" s="38"/>
      <c r="K28" s="31"/>
      <c r="L28" s="46"/>
      <c r="M28" s="181"/>
      <c r="N28" s="181"/>
      <c r="O28" s="34"/>
      <c r="P28" s="34"/>
      <c r="Q28" s="34"/>
      <c r="R28" s="34"/>
      <c r="S28" s="58"/>
      <c r="T28" s="58"/>
      <c r="U28" s="34"/>
      <c r="V28" s="34"/>
      <c r="W28" s="62"/>
      <c r="X28" s="170"/>
      <c r="Y28" s="169"/>
      <c r="Z28" s="169"/>
      <c r="AA28" s="169"/>
      <c r="AB28" s="169"/>
      <c r="AC28" s="169"/>
      <c r="AD28" s="169"/>
      <c r="AE28" s="62"/>
      <c r="AF28" s="62"/>
      <c r="AG28" s="47"/>
      <c r="AH28" s="31"/>
    </row>
    <row r="29" spans="2:34" ht="18" customHeight="1" x14ac:dyDescent="0.25">
      <c r="B29" s="31"/>
      <c r="C29" s="38"/>
      <c r="D29" s="39"/>
      <c r="E29" s="39" t="s">
        <v>6</v>
      </c>
      <c r="F29" s="94"/>
      <c r="G29" s="38" t="s">
        <v>220</v>
      </c>
      <c r="H29" s="102" t="str">
        <f>TEXT(ROUNDUP('Tool Calc Sheet'!D19,VLOOKUP('Tool Calc Sheet'!D19,'Tool Calc Sheet'!$G$112:$H$119,2,TRUE)),"#,###0")&amp;" kWh/year"</f>
        <v>0 kWh/year</v>
      </c>
      <c r="I29" s="38"/>
      <c r="J29" s="38"/>
      <c r="K29" s="31"/>
      <c r="L29" s="54"/>
      <c r="M29" s="181"/>
      <c r="N29" s="181"/>
      <c r="O29" s="55"/>
      <c r="P29" s="55"/>
      <c r="Q29" s="55"/>
      <c r="R29" s="55"/>
      <c r="S29" s="58"/>
      <c r="T29" s="52"/>
      <c r="U29" s="55"/>
      <c r="V29" s="55"/>
      <c r="W29" s="62"/>
      <c r="X29" s="170"/>
      <c r="Y29" s="179" t="str">
        <f>IFERROR(IF('Tool Calc Sheet'!D106&lt;1,ROUND('Tool Calc Sheet'!D106,2),
IF('Tool Calc Sheet'!D106&lt;150,ROUND('Tool Calc Sheet'!D106,0),
(TEXT(ROUND('Tool Calc Sheet'!D106,-2),"#,###")))),"")</f>
        <v/>
      </c>
      <c r="Z29" s="179"/>
      <c r="AA29" s="179"/>
      <c r="AB29" s="179"/>
      <c r="AC29" s="179"/>
      <c r="AD29" s="179"/>
      <c r="AE29" s="62"/>
      <c r="AF29" s="62"/>
      <c r="AG29" s="56"/>
      <c r="AH29" s="31"/>
    </row>
    <row r="30" spans="2:34" ht="18" customHeight="1" x14ac:dyDescent="0.25">
      <c r="B30" s="31"/>
      <c r="C30" s="38"/>
      <c r="D30" s="39"/>
      <c r="E30" s="102"/>
      <c r="F30" s="38"/>
      <c r="G30" s="38"/>
      <c r="H30" s="102"/>
      <c r="I30" s="38"/>
      <c r="J30" s="38"/>
      <c r="K30" s="31"/>
      <c r="L30" s="54"/>
      <c r="M30" s="181"/>
      <c r="N30" s="181"/>
      <c r="O30" s="55"/>
      <c r="P30" s="55"/>
      <c r="Q30" s="55"/>
      <c r="R30" s="55"/>
      <c r="S30" s="58"/>
      <c r="T30" s="52"/>
      <c r="U30" s="55"/>
      <c r="V30" s="55"/>
      <c r="W30" s="62"/>
      <c r="X30" s="167"/>
      <c r="Y30" s="179"/>
      <c r="Z30" s="179"/>
      <c r="AA30" s="179"/>
      <c r="AB30" s="179"/>
      <c r="AC30" s="179"/>
      <c r="AD30" s="179"/>
      <c r="AE30" s="62"/>
      <c r="AF30" s="62"/>
      <c r="AG30" s="56"/>
      <c r="AH30" s="31"/>
    </row>
    <row r="31" spans="2:34" ht="18" customHeight="1" x14ac:dyDescent="0.25">
      <c r="B31" s="31"/>
      <c r="C31" s="38"/>
      <c r="D31" s="105"/>
      <c r="E31" s="38" t="s">
        <v>223</v>
      </c>
      <c r="F31" s="105"/>
      <c r="G31" s="39"/>
      <c r="H31" s="39"/>
      <c r="I31" s="39"/>
      <c r="J31" s="103"/>
      <c r="K31" s="31"/>
      <c r="L31" s="54"/>
      <c r="M31" s="181"/>
      <c r="N31" s="181"/>
      <c r="O31" s="55"/>
      <c r="P31" s="55"/>
      <c r="Q31" s="55"/>
      <c r="R31" s="55"/>
      <c r="S31" s="58"/>
      <c r="T31" s="52"/>
      <c r="U31" s="55"/>
      <c r="V31" s="55"/>
      <c r="W31" s="62"/>
      <c r="X31" s="167"/>
      <c r="Y31" s="180" t="s">
        <v>200</v>
      </c>
      <c r="Z31" s="180"/>
      <c r="AA31" s="180"/>
      <c r="AB31" s="180"/>
      <c r="AC31" s="180"/>
      <c r="AD31" s="180"/>
      <c r="AE31" s="62"/>
      <c r="AF31" s="62"/>
      <c r="AG31" s="56"/>
      <c r="AH31" s="31"/>
    </row>
    <row r="32" spans="2:34" ht="17.25" customHeight="1" x14ac:dyDescent="0.25">
      <c r="B32" s="31"/>
      <c r="C32" s="38"/>
      <c r="D32" s="105"/>
      <c r="E32" s="105"/>
      <c r="F32" s="111"/>
      <c r="G32" s="105"/>
      <c r="H32" s="39"/>
      <c r="I32" s="39"/>
      <c r="J32" s="103"/>
      <c r="K32" s="31"/>
      <c r="L32" s="54"/>
      <c r="M32" s="181"/>
      <c r="N32" s="181"/>
      <c r="O32" s="55"/>
      <c r="P32" s="55"/>
      <c r="Q32" s="55"/>
      <c r="R32" s="55"/>
      <c r="S32" s="58"/>
      <c r="T32" s="52"/>
      <c r="U32" s="55"/>
      <c r="V32" s="55"/>
      <c r="W32" s="62"/>
      <c r="X32" s="167"/>
      <c r="Y32" s="180"/>
      <c r="Z32" s="180"/>
      <c r="AA32" s="180"/>
      <c r="AB32" s="180"/>
      <c r="AC32" s="180"/>
      <c r="AD32" s="180"/>
      <c r="AE32" s="62"/>
      <c r="AF32" s="62"/>
      <c r="AG32" s="56"/>
      <c r="AH32" s="31"/>
    </row>
    <row r="33" spans="2:34" ht="15" customHeight="1" x14ac:dyDescent="0.4">
      <c r="B33" s="31"/>
      <c r="C33" s="38"/>
      <c r="D33" s="39"/>
      <c r="E33" s="188" t="s">
        <v>222</v>
      </c>
      <c r="F33" s="39"/>
      <c r="G33" s="39"/>
      <c r="H33" s="64" t="s">
        <v>95</v>
      </c>
      <c r="I33" s="38"/>
      <c r="J33" s="103"/>
      <c r="K33" s="31"/>
      <c r="L33" s="54"/>
      <c r="M33" s="181"/>
      <c r="N33" s="181"/>
      <c r="O33" s="55"/>
      <c r="P33" s="55"/>
      <c r="Q33" s="55"/>
      <c r="R33" s="55"/>
      <c r="S33" s="58"/>
      <c r="T33" s="58"/>
      <c r="U33" s="55"/>
      <c r="V33" s="55"/>
      <c r="W33" s="62"/>
      <c r="X33" s="168"/>
      <c r="Y33" s="169"/>
      <c r="Z33" s="169"/>
      <c r="AA33" s="66"/>
      <c r="AB33" s="66"/>
      <c r="AC33" s="66"/>
      <c r="AD33" s="66"/>
      <c r="AE33" s="62"/>
      <c r="AF33" s="62"/>
      <c r="AG33" s="56"/>
      <c r="AH33" s="31"/>
    </row>
    <row r="34" spans="2:34" ht="18" customHeight="1" x14ac:dyDescent="0.4">
      <c r="B34" s="31"/>
      <c r="C34" s="38"/>
      <c r="D34" s="45"/>
      <c r="E34" s="188"/>
      <c r="F34" s="94"/>
      <c r="G34" s="38" t="s">
        <v>282</v>
      </c>
      <c r="H34" s="102" t="str">
        <f>TEXT(ROUNDUP('Tool Calc Sheet'!D23,VLOOKUP('Tool Calc Sheet'!D23,'Tool Calc Sheet'!$G$112:$H$119,2,TRUE)),"#,###0")&amp;" ekWh/year"</f>
        <v>0 ekWh/year</v>
      </c>
      <c r="I34" s="38"/>
      <c r="J34" s="40"/>
      <c r="K34" s="31"/>
      <c r="L34" s="57"/>
      <c r="M34" s="181"/>
      <c r="N34" s="181"/>
      <c r="O34" s="58"/>
      <c r="P34" s="58"/>
      <c r="Q34" s="58"/>
      <c r="R34" s="58"/>
      <c r="S34" s="58"/>
      <c r="T34" s="58"/>
      <c r="U34" s="58"/>
      <c r="V34" s="58"/>
      <c r="W34" s="62"/>
      <c r="X34" s="168"/>
      <c r="Y34" s="169"/>
      <c r="Z34" s="169"/>
      <c r="AA34" s="169"/>
      <c r="AB34" s="169"/>
      <c r="AC34" s="169"/>
      <c r="AD34" s="169"/>
      <c r="AE34" s="62"/>
      <c r="AF34" s="62"/>
      <c r="AG34" s="59"/>
      <c r="AH34" s="31"/>
    </row>
    <row r="35" spans="2:34" ht="15" customHeight="1" x14ac:dyDescent="0.4">
      <c r="B35" s="31"/>
      <c r="C35" s="38"/>
      <c r="D35" s="45"/>
      <c r="E35" s="39"/>
      <c r="F35" s="39"/>
      <c r="G35" s="39"/>
      <c r="H35" s="39"/>
      <c r="I35" s="39"/>
      <c r="J35" s="40"/>
      <c r="K35" s="31"/>
      <c r="L35" s="57"/>
      <c r="M35" s="181"/>
      <c r="N35" s="181"/>
      <c r="O35" s="58"/>
      <c r="P35" s="58"/>
      <c r="Q35" s="58"/>
      <c r="R35" s="58"/>
      <c r="S35" s="58"/>
      <c r="T35" s="58"/>
      <c r="U35" s="58"/>
      <c r="V35" s="58"/>
      <c r="W35" s="62"/>
      <c r="X35" s="168"/>
      <c r="Y35" s="169"/>
      <c r="Z35" s="169"/>
      <c r="AA35" s="169"/>
      <c r="AB35" s="169"/>
      <c r="AC35" s="169"/>
      <c r="AD35" s="169"/>
      <c r="AE35" s="62"/>
      <c r="AF35" s="62"/>
      <c r="AG35" s="59"/>
      <c r="AH35" s="31"/>
    </row>
    <row r="36" spans="2:34" ht="15" customHeight="1" x14ac:dyDescent="0.4">
      <c r="B36" s="31"/>
      <c r="C36" s="38"/>
      <c r="D36" s="45"/>
      <c r="E36" s="186" t="s">
        <v>258</v>
      </c>
      <c r="F36" s="186"/>
      <c r="G36" s="186"/>
      <c r="H36" s="186"/>
      <c r="I36" s="186"/>
      <c r="J36" s="40"/>
      <c r="K36" s="31"/>
      <c r="L36" s="57"/>
      <c r="M36" s="181"/>
      <c r="N36" s="181"/>
      <c r="O36" s="58"/>
      <c r="P36" s="58"/>
      <c r="Q36" s="58"/>
      <c r="R36" s="58"/>
      <c r="S36" s="58"/>
      <c r="T36" s="58"/>
      <c r="U36" s="58"/>
      <c r="V36" s="58"/>
      <c r="W36" s="62"/>
      <c r="X36" s="168"/>
      <c r="Y36" s="183" t="str">
        <f>IFERROR(IF('Tool Calc Sheet'!D107&lt;100,ROUND('Tool Calc Sheet'!D107,0), IF('Tool Calc Sheet'!D107&gt;1000000,TEXT(ROUND('Tool Calc Sheet'!D107/1000,-2),"#,###k"),TEXT(ROUND('Tool Calc Sheet'!D107,-2), "#,###"))),"")</f>
        <v/>
      </c>
      <c r="Z36" s="183"/>
      <c r="AA36" s="183"/>
      <c r="AB36" s="183"/>
      <c r="AC36" s="183"/>
      <c r="AD36" s="183"/>
      <c r="AE36" s="62"/>
      <c r="AF36" s="62"/>
      <c r="AG36" s="59"/>
      <c r="AH36" s="31"/>
    </row>
    <row r="37" spans="2:34" ht="15" customHeight="1" x14ac:dyDescent="0.25">
      <c r="B37" s="31"/>
      <c r="C37" s="38"/>
      <c r="D37" s="45"/>
      <c r="E37" s="186"/>
      <c r="F37" s="186"/>
      <c r="G37" s="186"/>
      <c r="H37" s="186"/>
      <c r="I37" s="186"/>
      <c r="J37" s="40"/>
      <c r="K37" s="31"/>
      <c r="L37" s="57"/>
      <c r="M37" s="181"/>
      <c r="N37" s="181"/>
      <c r="O37" s="58"/>
      <c r="P37" s="58"/>
      <c r="Q37" s="58"/>
      <c r="R37" s="58"/>
      <c r="S37" s="58"/>
      <c r="T37" s="58"/>
      <c r="U37" s="58"/>
      <c r="V37" s="58"/>
      <c r="W37" s="96"/>
      <c r="X37" s="171"/>
      <c r="Y37" s="183"/>
      <c r="Z37" s="183"/>
      <c r="AA37" s="183"/>
      <c r="AB37" s="183"/>
      <c r="AC37" s="183"/>
      <c r="AD37" s="183"/>
      <c r="AE37" s="62"/>
      <c r="AF37" s="62"/>
      <c r="AG37" s="59"/>
      <c r="AH37" s="31"/>
    </row>
    <row r="38" spans="2:34" x14ac:dyDescent="0.25">
      <c r="B38" s="31"/>
      <c r="C38" s="38"/>
      <c r="D38" s="45"/>
      <c r="E38" s="186"/>
      <c r="F38" s="186"/>
      <c r="G38" s="186"/>
      <c r="H38" s="186"/>
      <c r="I38" s="186"/>
      <c r="J38" s="40"/>
      <c r="K38" s="31"/>
      <c r="L38" s="32"/>
      <c r="M38" s="83"/>
      <c r="N38" s="83"/>
      <c r="O38" s="31"/>
      <c r="P38" s="31"/>
      <c r="Q38" s="31"/>
      <c r="R38" s="31"/>
      <c r="S38" s="58"/>
      <c r="T38" s="58"/>
      <c r="U38" s="31"/>
      <c r="V38" s="31"/>
      <c r="W38" s="62"/>
      <c r="X38" s="62"/>
      <c r="Y38" s="184" t="s">
        <v>176</v>
      </c>
      <c r="Z38" s="184"/>
      <c r="AA38" s="184"/>
      <c r="AB38" s="184"/>
      <c r="AC38" s="184"/>
      <c r="AD38" s="184"/>
      <c r="AE38" s="62"/>
      <c r="AF38" s="62"/>
      <c r="AG38" s="33"/>
      <c r="AH38" s="31"/>
    </row>
    <row r="39" spans="2:34" ht="15" customHeight="1" x14ac:dyDescent="0.25">
      <c r="B39" s="31"/>
      <c r="C39" s="38"/>
      <c r="D39" s="45"/>
      <c r="E39" s="40"/>
      <c r="F39" s="40"/>
      <c r="G39" s="40"/>
      <c r="H39" s="64" t="s">
        <v>95</v>
      </c>
      <c r="I39" s="40"/>
      <c r="J39" s="40"/>
      <c r="K39" s="31"/>
      <c r="L39" s="32"/>
      <c r="M39" s="31"/>
      <c r="N39" s="83"/>
      <c r="O39" s="31"/>
      <c r="P39" s="31"/>
      <c r="Q39" s="31"/>
      <c r="R39" s="31"/>
      <c r="S39" s="58"/>
      <c r="T39" s="58"/>
      <c r="U39" s="31"/>
      <c r="V39" s="31"/>
      <c r="W39" s="61"/>
      <c r="X39" s="61"/>
      <c r="Y39" s="184"/>
      <c r="Z39" s="184"/>
      <c r="AA39" s="184"/>
      <c r="AB39" s="184"/>
      <c r="AC39" s="184"/>
      <c r="AD39" s="184"/>
      <c r="AE39" s="62"/>
      <c r="AF39" s="62"/>
      <c r="AG39" s="33"/>
      <c r="AH39" s="31"/>
    </row>
    <row r="40" spans="2:34" ht="18" customHeight="1" x14ac:dyDescent="0.25">
      <c r="B40" s="31"/>
      <c r="C40" s="45"/>
      <c r="D40" s="45"/>
      <c r="E40" s="39" t="s">
        <v>8</v>
      </c>
      <c r="F40" s="95"/>
      <c r="G40" s="38" t="s">
        <v>172</v>
      </c>
      <c r="H40" s="38" t="s">
        <v>171</v>
      </c>
      <c r="I40" s="38"/>
      <c r="J40" s="45"/>
      <c r="K40" s="31"/>
      <c r="L40" s="32"/>
      <c r="M40" s="31"/>
      <c r="N40" s="83"/>
      <c r="O40" s="31"/>
      <c r="P40" s="35"/>
      <c r="Q40" s="35"/>
      <c r="R40" s="35"/>
      <c r="S40" s="58"/>
      <c r="T40" s="58"/>
      <c r="U40" s="35"/>
      <c r="V40" s="35"/>
      <c r="W40" s="61"/>
      <c r="X40" s="61"/>
      <c r="Y40" s="61"/>
      <c r="Z40" s="61"/>
      <c r="AA40" s="61"/>
      <c r="AB40" s="61"/>
      <c r="AC40" s="61"/>
      <c r="AD40" s="61"/>
      <c r="AE40" s="62"/>
      <c r="AF40" s="62"/>
      <c r="AG40" s="33"/>
      <c r="AH40" s="31"/>
    </row>
    <row r="41" spans="2:34" ht="18" customHeight="1" x14ac:dyDescent="0.25">
      <c r="B41" s="31"/>
      <c r="C41" s="38"/>
      <c r="D41" s="38"/>
      <c r="E41" s="39" t="s">
        <v>10</v>
      </c>
      <c r="F41" s="95"/>
      <c r="G41" s="38" t="s">
        <v>11</v>
      </c>
      <c r="H41" s="38" t="s">
        <v>142</v>
      </c>
      <c r="I41" s="38"/>
      <c r="J41" s="38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3"/>
      <c r="AH41" s="31"/>
    </row>
    <row r="42" spans="2:34" ht="18" customHeight="1" x14ac:dyDescent="0.25">
      <c r="B42" s="31"/>
      <c r="C42" s="38"/>
      <c r="D42" s="38"/>
      <c r="E42" s="39" t="s">
        <v>224</v>
      </c>
      <c r="F42" s="95"/>
      <c r="G42" s="38" t="s">
        <v>11</v>
      </c>
      <c r="H42" s="185" t="s">
        <v>281</v>
      </c>
      <c r="I42" s="185"/>
      <c r="J42" s="185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2:34" ht="14.45" customHeight="1" x14ac:dyDescent="0.25">
      <c r="B43" s="31"/>
      <c r="C43" s="38"/>
      <c r="D43" s="38"/>
      <c r="E43" s="39"/>
      <c r="F43" s="39"/>
      <c r="G43" s="38"/>
      <c r="H43" s="38"/>
      <c r="I43" s="38"/>
      <c r="J43" s="38"/>
      <c r="K43" s="31"/>
      <c r="L43" s="107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8"/>
      <c r="AH43" s="31"/>
    </row>
    <row r="44" spans="2:34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</sheetData>
  <sheetProtection sheet="1" objects="1" scenarios="1" selectLockedCells="1"/>
  <mergeCells count="28">
    <mergeCell ref="F14:G14"/>
    <mergeCell ref="C3:V3"/>
    <mergeCell ref="O23:Q23"/>
    <mergeCell ref="C4:AG4"/>
    <mergeCell ref="D17:I18"/>
    <mergeCell ref="D8:I11"/>
    <mergeCell ref="F19:I21"/>
    <mergeCell ref="AD16:AE16"/>
    <mergeCell ref="R12:T12"/>
    <mergeCell ref="P17:Z18"/>
    <mergeCell ref="AC14:AE14"/>
    <mergeCell ref="V14:Y14"/>
    <mergeCell ref="V16:Z16"/>
    <mergeCell ref="W12:X12"/>
    <mergeCell ref="D12:G13"/>
    <mergeCell ref="H12:J13"/>
    <mergeCell ref="Y38:AD39"/>
    <mergeCell ref="H42:J42"/>
    <mergeCell ref="E36:I38"/>
    <mergeCell ref="D22:I23"/>
    <mergeCell ref="E24:I26"/>
    <mergeCell ref="E33:E34"/>
    <mergeCell ref="H14:J16"/>
    <mergeCell ref="Y29:AD30"/>
    <mergeCell ref="Y31:AD32"/>
    <mergeCell ref="M24:N37"/>
    <mergeCell ref="X24:AD26"/>
    <mergeCell ref="Y36:AD37"/>
  </mergeCells>
  <conditionalFormatting sqref="F34">
    <cfRule type="expression" dxfId="58" priority="3">
      <formula>$F$32="No"</formula>
    </cfRule>
  </conditionalFormatting>
  <conditionalFormatting sqref="P12:AE18">
    <cfRule type="expression" dxfId="57" priority="389">
      <formula>#REF!="Reselect a retrofit measure to show results"</formula>
    </cfRule>
    <cfRule type="expression" dxfId="56" priority="390">
      <formula>ISBLANK($F$19)</formula>
    </cfRule>
  </conditionalFormatting>
  <dataValidations count="1">
    <dataValidation type="list" allowBlank="1" showInputMessage="1" showErrorMessage="1" sqref="F32" xr:uid="{0DFCA97A-0321-4830-B465-398E5458500D}">
      <formula1>"Yes, No"</formula1>
    </dataValidation>
  </dataValidations>
  <pageMargins left="0.7" right="0.7" top="0.75" bottom="0.75" header="0.3" footer="0.3"/>
  <pageSetup paperSize="9" scale="2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C909F0-1D33-413B-8F6B-51964AFBF875}">
          <x14:formula1>
            <xm:f>'Drop Down Database'!$F$3:$F$17</xm:f>
          </x14:formula1>
          <xm:sqref>F19</xm:sqref>
        </x14:dataValidation>
        <x14:dataValidation type="list" allowBlank="1" showInputMessage="1" showErrorMessage="1" xr:uid="{472EC874-C08A-4123-9D8F-54B74270CAF8}">
          <x14:formula1>
            <xm:f>'Drop Down Database'!$B$3:$B$12</xm:f>
          </x14:formula1>
          <xm:sqref>F14</xm:sqref>
        </x14:dataValidation>
        <x14:dataValidation type="list" allowBlank="1" showInputMessage="1" showErrorMessage="1" xr:uid="{6A766C32-CAC0-4C31-9F2D-977A20922482}">
          <x14:formula1>
            <xm:f>'Tool Calc Sheet'!$D$109:$D$110</xm:f>
          </x14:formula1>
          <xm:sqref>O23:Q23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C823-3FEF-42DC-90FC-90616B18A78C}">
  <sheetPr>
    <tabColor theme="2" tint="-0.249977111117893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D790-CCA6-433F-83D5-70387C73B820}">
  <sheetPr>
    <tabColor theme="9" tint="0.39997558519241921"/>
    <pageSetUpPr fitToPage="1"/>
  </sheetPr>
  <dimension ref="B1:H130"/>
  <sheetViews>
    <sheetView topLeftCell="A97" zoomScaleNormal="100" workbookViewId="0"/>
  </sheetViews>
  <sheetFormatPr defaultRowHeight="15" x14ac:dyDescent="0.25"/>
  <cols>
    <col min="2" max="2" width="42.42578125" style="3" customWidth="1"/>
    <col min="3" max="3" width="15.7109375" style="7" customWidth="1"/>
    <col min="4" max="4" width="34.85546875" style="22" customWidth="1"/>
    <col min="5" max="5" width="45.28515625" style="5" customWidth="1"/>
    <col min="6" max="6" width="45" customWidth="1"/>
    <col min="7" max="7" width="12" customWidth="1"/>
  </cols>
  <sheetData>
    <row r="1" spans="2:5" x14ac:dyDescent="0.25">
      <c r="B1" s="9" t="s">
        <v>12</v>
      </c>
    </row>
    <row r="3" spans="2:5" x14ac:dyDescent="0.25">
      <c r="B3" s="4" t="s">
        <v>13</v>
      </c>
      <c r="C3" s="6" t="s">
        <v>14</v>
      </c>
      <c r="E3" s="1" t="s">
        <v>15</v>
      </c>
    </row>
    <row r="4" spans="2:5" x14ac:dyDescent="0.25">
      <c r="B4" s="3" t="s">
        <v>16</v>
      </c>
      <c r="C4" s="7" t="s">
        <v>17</v>
      </c>
      <c r="D4" s="132">
        <f>'GHG Emission Calculator'!F19</f>
        <v>0</v>
      </c>
      <c r="E4" s="129" t="s">
        <v>18</v>
      </c>
    </row>
    <row r="5" spans="2:5" x14ac:dyDescent="0.25">
      <c r="B5" s="3" t="s">
        <v>19</v>
      </c>
      <c r="C5" s="7" t="s">
        <v>17</v>
      </c>
      <c r="D5" s="132">
        <f>'GHG Emission Calculator'!F14</f>
        <v>0</v>
      </c>
      <c r="E5" s="129" t="s">
        <v>18</v>
      </c>
    </row>
    <row r="6" spans="2:5" x14ac:dyDescent="0.25">
      <c r="B6" s="3" t="s">
        <v>284</v>
      </c>
      <c r="C6" s="7" t="s">
        <v>17</v>
      </c>
      <c r="D6" s="151" t="e">
        <f>VLOOKUP($D$5,'Existing Building EUI'!$B$7:$G$16,6,FALSE)</f>
        <v>#N/A</v>
      </c>
      <c r="E6" s="129" t="s">
        <v>285</v>
      </c>
    </row>
    <row r="7" spans="2:5" x14ac:dyDescent="0.25">
      <c r="B7" s="3" t="s">
        <v>20</v>
      </c>
      <c r="C7" s="7" t="s">
        <v>3</v>
      </c>
      <c r="D7" s="132">
        <f>'GHG Emission Calculator'!F16</f>
        <v>0</v>
      </c>
      <c r="E7" s="129" t="s">
        <v>18</v>
      </c>
    </row>
    <row r="8" spans="2:5" x14ac:dyDescent="0.25">
      <c r="B8" s="3" t="s">
        <v>20</v>
      </c>
      <c r="C8" s="7" t="s">
        <v>21</v>
      </c>
      <c r="D8" s="132">
        <f>D7*0.092903</f>
        <v>0</v>
      </c>
      <c r="E8" s="129" t="s">
        <v>263</v>
      </c>
    </row>
    <row r="9" spans="2:5" x14ac:dyDescent="0.25">
      <c r="B9" s="3" t="s">
        <v>22</v>
      </c>
      <c r="C9" s="7" t="s">
        <v>193</v>
      </c>
      <c r="D9" s="132">
        <f>IFERROR(VLOOKUP($D$5,'Existing Building EUI'!$B$7:$F$16,3,FALSE),0)</f>
        <v>0</v>
      </c>
      <c r="E9" s="129" t="s">
        <v>264</v>
      </c>
    </row>
    <row r="10" spans="2:5" x14ac:dyDescent="0.25">
      <c r="B10" s="3" t="s">
        <v>23</v>
      </c>
      <c r="C10" s="7" t="s">
        <v>193</v>
      </c>
      <c r="D10" s="132">
        <f>IFERROR(VLOOKUP($D$5,'Existing Building EUI'!$B$7:$F$16,4,FALSE),)</f>
        <v>0</v>
      </c>
      <c r="E10" s="129" t="s">
        <v>264</v>
      </c>
    </row>
    <row r="11" spans="2:5" x14ac:dyDescent="0.25">
      <c r="B11" s="3" t="s">
        <v>24</v>
      </c>
      <c r="C11" s="7" t="s">
        <v>193</v>
      </c>
      <c r="D11" s="132">
        <f>IFERROR(VLOOKUP($D$5,'Existing Building EUI'!$B$7:$F$16,5,FALSE),)</f>
        <v>0</v>
      </c>
      <c r="E11" s="129" t="s">
        <v>264</v>
      </c>
    </row>
    <row r="12" spans="2:5" x14ac:dyDescent="0.25">
      <c r="B12"/>
      <c r="D12" s="80"/>
      <c r="E12" s="130"/>
    </row>
    <row r="13" spans="2:5" x14ac:dyDescent="0.25">
      <c r="B13" s="4" t="s">
        <v>25</v>
      </c>
      <c r="D13" s="80"/>
      <c r="E13" s="130"/>
    </row>
    <row r="14" spans="2:5" x14ac:dyDescent="0.25">
      <c r="B14" s="3" t="s">
        <v>26</v>
      </c>
      <c r="C14" s="7" t="s">
        <v>7</v>
      </c>
      <c r="D14" s="132">
        <f>IF(D22="Yes",IF(ISERROR(VLOOKUP(D5,'Drop Down Database'!H3:H9,1,FALSE)),0,(D9*D8)*0.08),D9*D8)</f>
        <v>0</v>
      </c>
      <c r="E14" s="129" t="s">
        <v>265</v>
      </c>
    </row>
    <row r="15" spans="2:5" x14ac:dyDescent="0.25">
      <c r="B15" s="3" t="s">
        <v>26</v>
      </c>
      <c r="C15" s="7" t="s">
        <v>5</v>
      </c>
      <c r="D15" s="132">
        <f>D14/10.55</f>
        <v>0</v>
      </c>
      <c r="E15" s="129" t="s">
        <v>266</v>
      </c>
    </row>
    <row r="16" spans="2:5" x14ac:dyDescent="0.25">
      <c r="B16" s="3" t="s">
        <v>27</v>
      </c>
      <c r="C16" s="7" t="s">
        <v>5</v>
      </c>
      <c r="D16" s="132">
        <f>'GHG Emission Calculator'!F28</f>
        <v>0</v>
      </c>
      <c r="E16" s="129" t="s">
        <v>18</v>
      </c>
    </row>
    <row r="17" spans="2:6" x14ac:dyDescent="0.25">
      <c r="B17" s="3" t="s">
        <v>27</v>
      </c>
      <c r="C17" s="7" t="s">
        <v>7</v>
      </c>
      <c r="D17" s="132">
        <f>D16*10.55</f>
        <v>0</v>
      </c>
      <c r="E17" s="129" t="s">
        <v>266</v>
      </c>
      <c r="F17" s="20" t="s">
        <v>61</v>
      </c>
    </row>
    <row r="18" spans="2:6" x14ac:dyDescent="0.25">
      <c r="B18" s="3" t="s">
        <v>29</v>
      </c>
      <c r="C18" s="7" t="s">
        <v>7</v>
      </c>
      <c r="D18" s="132">
        <f>IF(D17=0,D14,D17)</f>
        <v>0</v>
      </c>
      <c r="E18" s="129" t="s">
        <v>267</v>
      </c>
    </row>
    <row r="19" spans="2:6" x14ac:dyDescent="0.25">
      <c r="B19" s="3" t="s">
        <v>30</v>
      </c>
      <c r="C19" s="7" t="s">
        <v>7</v>
      </c>
      <c r="D19" s="132">
        <f>D10*D8</f>
        <v>0</v>
      </c>
      <c r="E19" s="129" t="s">
        <v>265</v>
      </c>
    </row>
    <row r="20" spans="2:6" x14ac:dyDescent="0.25">
      <c r="B20" s="3" t="s">
        <v>31</v>
      </c>
      <c r="C20" s="7" t="s">
        <v>7</v>
      </c>
      <c r="D20" s="132">
        <f>'GHG Emission Calculator'!F29</f>
        <v>0</v>
      </c>
      <c r="E20" s="129" t="s">
        <v>18</v>
      </c>
    </row>
    <row r="21" spans="2:6" x14ac:dyDescent="0.25">
      <c r="B21" s="3" t="s">
        <v>32</v>
      </c>
      <c r="C21" s="7" t="s">
        <v>7</v>
      </c>
      <c r="D21" s="132">
        <f>IF(D20=0,D19,D20)</f>
        <v>0</v>
      </c>
      <c r="E21" s="129" t="s">
        <v>268</v>
      </c>
    </row>
    <row r="22" spans="2:6" x14ac:dyDescent="0.25">
      <c r="B22" s="3" t="s">
        <v>209</v>
      </c>
      <c r="C22" s="7" t="s">
        <v>7</v>
      </c>
      <c r="D22" s="132">
        <f>'GHG Emission Calculator'!F32</f>
        <v>0</v>
      </c>
      <c r="E22" s="129" t="s">
        <v>18</v>
      </c>
    </row>
    <row r="23" spans="2:6" x14ac:dyDescent="0.25">
      <c r="B23" s="3" t="s">
        <v>201</v>
      </c>
      <c r="C23" s="7" t="s">
        <v>7</v>
      </c>
      <c r="D23" s="132">
        <f>IF(D22="Yes",D8*D9*0.8,0)</f>
        <v>0</v>
      </c>
      <c r="E23" s="129" t="s">
        <v>265</v>
      </c>
    </row>
    <row r="24" spans="2:6" x14ac:dyDescent="0.25">
      <c r="B24" s="3" t="s">
        <v>202</v>
      </c>
      <c r="C24" s="7" t="s">
        <v>7</v>
      </c>
      <c r="D24" s="132">
        <f>'GHG Emission Calculator'!F34</f>
        <v>0</v>
      </c>
      <c r="E24" s="129" t="s">
        <v>18</v>
      </c>
    </row>
    <row r="25" spans="2:6" x14ac:dyDescent="0.25">
      <c r="B25" s="3" t="s">
        <v>203</v>
      </c>
      <c r="C25" s="7" t="s">
        <v>7</v>
      </c>
      <c r="D25" s="132">
        <f>IF(D22="Yes",IF(D24=0,D23,D24),)</f>
        <v>0</v>
      </c>
      <c r="E25" s="129" t="s">
        <v>269</v>
      </c>
    </row>
    <row r="26" spans="2:6" x14ac:dyDescent="0.25">
      <c r="B26" s="3" t="s">
        <v>33</v>
      </c>
      <c r="C26" s="7" t="s">
        <v>7</v>
      </c>
      <c r="D26" s="132">
        <f>SUM(D18,D21,D25)</f>
        <v>0</v>
      </c>
      <c r="E26" s="129" t="s">
        <v>34</v>
      </c>
    </row>
    <row r="27" spans="2:6" x14ac:dyDescent="0.25">
      <c r="E27" s="129"/>
    </row>
    <row r="28" spans="2:6" x14ac:dyDescent="0.25">
      <c r="E28" s="129"/>
    </row>
    <row r="29" spans="2:6" x14ac:dyDescent="0.25">
      <c r="B29" s="3" t="s">
        <v>35</v>
      </c>
      <c r="C29" s="7" t="s">
        <v>36</v>
      </c>
      <c r="D29" s="133">
        <v>1.921</v>
      </c>
      <c r="E29" s="129" t="s">
        <v>270</v>
      </c>
      <c r="F29" t="s">
        <v>37</v>
      </c>
    </row>
    <row r="30" spans="2:6" x14ac:dyDescent="0.25">
      <c r="B30" s="3" t="s">
        <v>35</v>
      </c>
      <c r="C30" s="7" t="s">
        <v>38</v>
      </c>
      <c r="D30" s="133">
        <f>D29/10.55</f>
        <v>0.18208530805687204</v>
      </c>
      <c r="E30" s="129" t="s">
        <v>28</v>
      </c>
    </row>
    <row r="31" spans="2:6" x14ac:dyDescent="0.25">
      <c r="B31" s="3" t="s">
        <v>39</v>
      </c>
      <c r="C31" s="7" t="s">
        <v>38</v>
      </c>
      <c r="D31" s="133">
        <v>3.7999999999999999E-2</v>
      </c>
      <c r="E31" s="129" t="s">
        <v>270</v>
      </c>
      <c r="F31" s="15" t="s">
        <v>40</v>
      </c>
    </row>
    <row r="32" spans="2:6" x14ac:dyDescent="0.25">
      <c r="B32" s="3" t="s">
        <v>204</v>
      </c>
      <c r="C32" s="7" t="s">
        <v>38</v>
      </c>
      <c r="D32" s="133">
        <v>0.21718829665774589</v>
      </c>
      <c r="E32" s="129" t="s">
        <v>271</v>
      </c>
      <c r="F32" s="15"/>
    </row>
    <row r="33" spans="2:6" x14ac:dyDescent="0.25">
      <c r="B33" s="3" t="s">
        <v>256</v>
      </c>
      <c r="C33" s="7" t="s">
        <v>38</v>
      </c>
      <c r="D33" s="133">
        <v>0.05</v>
      </c>
      <c r="E33" s="129" t="s">
        <v>272</v>
      </c>
      <c r="F33" s="15" t="s">
        <v>257</v>
      </c>
    </row>
    <row r="34" spans="2:6" x14ac:dyDescent="0.25">
      <c r="B34" s="3" t="s">
        <v>41</v>
      </c>
      <c r="C34" s="7" t="s">
        <v>42</v>
      </c>
      <c r="D34" s="132">
        <f>D30*D18</f>
        <v>0</v>
      </c>
      <c r="E34" s="129" t="s">
        <v>273</v>
      </c>
    </row>
    <row r="35" spans="2:6" x14ac:dyDescent="0.25">
      <c r="B35" s="3" t="s">
        <v>43</v>
      </c>
      <c r="C35" s="7" t="s">
        <v>42</v>
      </c>
      <c r="D35" s="132">
        <f>D31*D21</f>
        <v>0</v>
      </c>
      <c r="E35" s="129" t="s">
        <v>273</v>
      </c>
    </row>
    <row r="36" spans="2:6" x14ac:dyDescent="0.25">
      <c r="B36" s="3" t="s">
        <v>205</v>
      </c>
      <c r="C36" s="7" t="s">
        <v>42</v>
      </c>
      <c r="D36" s="132">
        <f>D32*D25</f>
        <v>0</v>
      </c>
      <c r="E36" s="129" t="s">
        <v>273</v>
      </c>
    </row>
    <row r="37" spans="2:6" x14ac:dyDescent="0.25">
      <c r="B37" s="3" t="s">
        <v>44</v>
      </c>
      <c r="C37" s="7" t="s">
        <v>42</v>
      </c>
      <c r="D37" s="132">
        <f>SUM(D34:D36)</f>
        <v>0</v>
      </c>
      <c r="E37" s="129" t="s">
        <v>274</v>
      </c>
    </row>
    <row r="38" spans="2:6" x14ac:dyDescent="0.25">
      <c r="E38" s="129"/>
    </row>
    <row r="39" spans="2:6" x14ac:dyDescent="0.25">
      <c r="B39" s="3" t="s">
        <v>45</v>
      </c>
      <c r="C39" s="7" t="s">
        <v>11</v>
      </c>
      <c r="D39" s="134">
        <f>0.15/10.55</f>
        <v>1.4218009478672985E-2</v>
      </c>
      <c r="E39" s="129" t="s">
        <v>270</v>
      </c>
      <c r="F39" s="21" t="s">
        <v>62</v>
      </c>
    </row>
    <row r="40" spans="2:6" x14ac:dyDescent="0.25">
      <c r="B40" s="3" t="s">
        <v>46</v>
      </c>
      <c r="C40" s="7" t="s">
        <v>9</v>
      </c>
      <c r="D40" s="132">
        <f>'GHG Emission Calculator'!F40</f>
        <v>0</v>
      </c>
      <c r="E40" s="129" t="s">
        <v>18</v>
      </c>
    </row>
    <row r="41" spans="2:6" x14ac:dyDescent="0.25">
      <c r="B41" s="3" t="s">
        <v>46</v>
      </c>
      <c r="C41" s="7" t="s">
        <v>11</v>
      </c>
      <c r="D41" s="134">
        <f>D40/10.55</f>
        <v>0</v>
      </c>
      <c r="E41" s="129" t="s">
        <v>28</v>
      </c>
    </row>
    <row r="42" spans="2:6" x14ac:dyDescent="0.25">
      <c r="B42" s="3" t="s">
        <v>47</v>
      </c>
      <c r="C42" s="7" t="s">
        <v>11</v>
      </c>
      <c r="D42" s="134">
        <f>IF(D41=0,D39,D41)</f>
        <v>1.4218009478672985E-2</v>
      </c>
      <c r="E42" s="129" t="s">
        <v>267</v>
      </c>
    </row>
    <row r="43" spans="2:6" x14ac:dyDescent="0.25">
      <c r="B43" s="3" t="s">
        <v>48</v>
      </c>
      <c r="C43" s="7" t="s">
        <v>11</v>
      </c>
      <c r="D43" s="135">
        <f>(18.2+12.2+8.7)/(3*100)</f>
        <v>0.1303333333333333</v>
      </c>
      <c r="E43" s="129" t="s">
        <v>270</v>
      </c>
      <c r="F43" s="21" t="s">
        <v>63</v>
      </c>
    </row>
    <row r="44" spans="2:6" x14ac:dyDescent="0.25">
      <c r="B44" s="3" t="s">
        <v>49</v>
      </c>
      <c r="C44" s="7" t="s">
        <v>11</v>
      </c>
      <c r="D44" s="132">
        <f>'GHG Emission Calculator'!F41</f>
        <v>0</v>
      </c>
      <c r="E44" s="129" t="s">
        <v>18</v>
      </c>
    </row>
    <row r="45" spans="2:6" x14ac:dyDescent="0.25">
      <c r="B45" s="3" t="s">
        <v>50</v>
      </c>
      <c r="C45" s="7" t="s">
        <v>11</v>
      </c>
      <c r="D45" s="135">
        <f>IF(D44=0,D43,D44)</f>
        <v>0.1303333333333333</v>
      </c>
      <c r="E45" s="129" t="s">
        <v>268</v>
      </c>
    </row>
    <row r="46" spans="2:6" x14ac:dyDescent="0.25">
      <c r="B46" s="3" t="s">
        <v>206</v>
      </c>
      <c r="C46" s="7" t="s">
        <v>11</v>
      </c>
      <c r="D46" s="135">
        <v>0.11</v>
      </c>
      <c r="E46" s="129" t="s">
        <v>270</v>
      </c>
      <c r="F46" t="s">
        <v>259</v>
      </c>
    </row>
    <row r="47" spans="2:6" x14ac:dyDescent="0.25">
      <c r="B47" s="3" t="s">
        <v>207</v>
      </c>
      <c r="C47" s="7" t="s">
        <v>11</v>
      </c>
      <c r="D47" s="135">
        <f>'GHG Emission Calculator'!F42</f>
        <v>0</v>
      </c>
      <c r="E47" s="129" t="s">
        <v>18</v>
      </c>
    </row>
    <row r="48" spans="2:6" x14ac:dyDescent="0.25">
      <c r="B48" s="3" t="s">
        <v>208</v>
      </c>
      <c r="C48" s="7" t="s">
        <v>11</v>
      </c>
      <c r="D48" s="135">
        <f>IF(D47=0,D46,D47)</f>
        <v>0.11</v>
      </c>
      <c r="E48" s="129" t="s">
        <v>269</v>
      </c>
    </row>
    <row r="49" spans="2:6" x14ac:dyDescent="0.25">
      <c r="B49" s="3" t="s">
        <v>51</v>
      </c>
      <c r="C49" s="7" t="s">
        <v>52</v>
      </c>
      <c r="D49" s="132">
        <f>D42*D18</f>
        <v>0</v>
      </c>
      <c r="E49" s="129" t="s">
        <v>275</v>
      </c>
      <c r="F49" s="81"/>
    </row>
    <row r="50" spans="2:6" x14ac:dyDescent="0.25">
      <c r="B50" s="3" t="s">
        <v>53</v>
      </c>
      <c r="C50" s="7" t="s">
        <v>52</v>
      </c>
      <c r="D50" s="132">
        <f>D45*D21</f>
        <v>0</v>
      </c>
      <c r="E50" s="129" t="s">
        <v>275</v>
      </c>
      <c r="F50" s="81"/>
    </row>
    <row r="51" spans="2:6" x14ac:dyDescent="0.25">
      <c r="B51" s="3" t="s">
        <v>210</v>
      </c>
      <c r="C51" s="7" t="s">
        <v>52</v>
      </c>
      <c r="D51" s="132">
        <f>D25*D48</f>
        <v>0</v>
      </c>
      <c r="E51" s="129" t="s">
        <v>275</v>
      </c>
      <c r="F51" s="81"/>
    </row>
    <row r="52" spans="2:6" x14ac:dyDescent="0.25">
      <c r="B52" s="3" t="s">
        <v>54</v>
      </c>
      <c r="C52" s="7" t="s">
        <v>52</v>
      </c>
      <c r="D52" s="132">
        <f>SUM(D49:D51)</f>
        <v>0</v>
      </c>
      <c r="E52" s="129" t="s">
        <v>275</v>
      </c>
      <c r="F52" s="81"/>
    </row>
    <row r="53" spans="2:6" x14ac:dyDescent="0.25">
      <c r="B53"/>
      <c r="E53"/>
    </row>
    <row r="54" spans="2:6" x14ac:dyDescent="0.25">
      <c r="B54" s="4" t="s">
        <v>145</v>
      </c>
      <c r="C54" s="6"/>
      <c r="D54" s="80"/>
      <c r="E54" s="129"/>
    </row>
    <row r="55" spans="2:6" x14ac:dyDescent="0.25">
      <c r="B55" s="3" t="s">
        <v>144</v>
      </c>
      <c r="C55" s="7" t="s">
        <v>7</v>
      </c>
      <c r="D55" s="132" t="e">
        <f>IF(D22="Yes",
D21-((VLOOKUP("[D] "&amp;$D$4&amp;$D$5,'Retrofit Data - DES'!$B$6:$AB$201,'Retrofit Data - DES'!O4,FALSE)*D21)+(VLOOKUP("[D] "&amp;$D$4&amp;$D$5,'Retrofit Data - DES'!$B$6:$AB$201,'Retrofit Data - DES'!S4,FALSE)*D25)),
D21-((VLOOKUP($D$4&amp;$D$5,'Retrofit Data'!$B$6:$AB$201,'Retrofit Data'!O4,FALSE)*D21)+(VLOOKUP($D$4&amp;$D$5,'Retrofit Data'!$B$6:$AB$201,'Retrofit Data'!S4,FALSE)*D18)))</f>
        <v>#N/A</v>
      </c>
      <c r="E55" s="145"/>
      <c r="F55" s="131"/>
    </row>
    <row r="56" spans="2:6" x14ac:dyDescent="0.25">
      <c r="B56" s="3" t="s">
        <v>146</v>
      </c>
      <c r="C56" s="7" t="s">
        <v>7</v>
      </c>
      <c r="D56" s="132" t="e">
        <f>IF(D22="Yes",
D21-((VLOOKUP("[D] "&amp;$D$4&amp;$D$5,'Retrofit Data - DES'!$B$6:$AB$201,'Retrofit Data - DES'!P4,FALSE)*D21)+(VLOOKUP("[D] "&amp;$D$4&amp;$D$5,'Retrofit Data - DES'!$B$6:$AB$201,'Retrofit Data - DES'!T4,FALSE)*D25)),                                                                                                                                                                                                                                                         D21-((VLOOKUP($D$4&amp;$D$5,'Retrofit Data'!$B$6:$AB$201,'Retrofit Data'!P4,FALSE)*D21)+(VLOOKUP($D$4&amp;$D$5,'Retrofit Data'!$B$6:$AB$201,'Retrofit Data'!T4,FALSE)*D18)))</f>
        <v>#N/A</v>
      </c>
      <c r="E56" s="145"/>
    </row>
    <row r="57" spans="2:6" x14ac:dyDescent="0.25">
      <c r="B57" s="3" t="s">
        <v>143</v>
      </c>
      <c r="C57" s="7" t="s">
        <v>7</v>
      </c>
      <c r="D57" s="132" t="e">
        <f>IF(D22="Yes",
D18-((VLOOKUP("[D] "&amp;$D$4&amp;$D$5,'Retrofit Data - DES'!$B$6:$AB$201,'Retrofit Data - DES'!M4,FALSE)*D18)),
D18-((VLOOKUP($D$4&amp;$D$5,'Retrofit Data'!$B$6:$AB$201,'Retrofit Data'!M4,FALSE)*D18)))</f>
        <v>#N/A</v>
      </c>
      <c r="E57" s="129"/>
    </row>
    <row r="58" spans="2:6" x14ac:dyDescent="0.25">
      <c r="B58" s="3" t="s">
        <v>238</v>
      </c>
      <c r="C58" s="7" t="s">
        <v>7</v>
      </c>
      <c r="D58" s="132" t="e">
        <f>IF(D22="Yes",
D18-((VLOOKUP("[D] "&amp;$D$4&amp;$D$5,'Retrofit Data - DES'!$B$6:$AB$1201,'Retrofit Data - DES'!N4,FALSE)*D18)),
D18-((VLOOKUP($D$4&amp;$D$5,'Retrofit Data'!$B$6:$AB$1201,'Retrofit Data'!N4,FALSE)*D18)))</f>
        <v>#N/A</v>
      </c>
      <c r="E58" s="129"/>
    </row>
    <row r="59" spans="2:6" x14ac:dyDescent="0.25">
      <c r="B59" s="3" t="s">
        <v>211</v>
      </c>
      <c r="C59" s="7" t="s">
        <v>7</v>
      </c>
      <c r="D59" s="132" t="e">
        <f>IF(D22="yes",
D25-((VLOOKUP("[D] "&amp;$D$4&amp;$D$5,'Retrofit Data - DES'!$B$6:$AB$201,'Retrofit Data - DES'!Q4,FALSE)*D25)),
((VLOOKUP($D$4&amp;$D$5,'Retrofit Data'!$B$6:$AB$201,'Retrofit Data'!Q4,FALSE)*D25*-1)))</f>
        <v>#N/A</v>
      </c>
      <c r="E59" s="129"/>
    </row>
    <row r="60" spans="2:6" x14ac:dyDescent="0.25">
      <c r="B60" s="3" t="s">
        <v>212</v>
      </c>
      <c r="C60" s="7" t="s">
        <v>7</v>
      </c>
      <c r="D60" s="132" t="e">
        <f>IF(D22="yes",
D25-((VLOOKUP("[D] "&amp;$D$4&amp;$D$5,'Retrofit Data - DES'!$B$6:$AB$201,'Retrofit Data - DES'!R4,FALSE)*D25)),
((VLOOKUP($D$4&amp;$D$5,'Retrofit Data'!$B$6:$AB$201,'Retrofit Data'!R4,FALSE)*D25*-1)))</f>
        <v>#N/A</v>
      </c>
      <c r="E60" s="129"/>
    </row>
    <row r="61" spans="2:6" x14ac:dyDescent="0.25">
      <c r="B61" s="3" t="s">
        <v>66</v>
      </c>
      <c r="C61" s="7" t="s">
        <v>193</v>
      </c>
      <c r="D61" s="138" t="e">
        <f>D62/D26</f>
        <v>#N/A</v>
      </c>
      <c r="E61" s="129"/>
    </row>
    <row r="62" spans="2:6" x14ac:dyDescent="0.25">
      <c r="B62" s="3" t="s">
        <v>147</v>
      </c>
      <c r="C62" s="7" t="s">
        <v>7</v>
      </c>
      <c r="D62" s="132" t="e">
        <f>D26-D63</f>
        <v>#N/A</v>
      </c>
      <c r="E62" s="129"/>
    </row>
    <row r="63" spans="2:6" x14ac:dyDescent="0.25">
      <c r="B63" s="3" t="s">
        <v>148</v>
      </c>
      <c r="C63" s="7" t="s">
        <v>7</v>
      </c>
      <c r="D63" s="132" t="e">
        <f>D55+D57+D59</f>
        <v>#N/A</v>
      </c>
      <c r="E63" s="129"/>
    </row>
    <row r="64" spans="2:6" x14ac:dyDescent="0.25">
      <c r="B64"/>
      <c r="C64"/>
      <c r="D64" s="80"/>
      <c r="E64" s="130"/>
    </row>
    <row r="65" spans="2:5" x14ac:dyDescent="0.25">
      <c r="B65" s="3" t="s">
        <v>67</v>
      </c>
      <c r="C65" s="7" t="s">
        <v>193</v>
      </c>
      <c r="D65" s="138" t="e">
        <f>D66/D26</f>
        <v>#N/A</v>
      </c>
      <c r="E65" s="129"/>
    </row>
    <row r="66" spans="2:5" x14ac:dyDescent="0.25">
      <c r="B66" s="3" t="s">
        <v>149</v>
      </c>
      <c r="C66" s="7" t="s">
        <v>7</v>
      </c>
      <c r="D66" s="132" t="e">
        <f>D26-D67</f>
        <v>#N/A</v>
      </c>
      <c r="E66" s="129"/>
    </row>
    <row r="67" spans="2:5" x14ac:dyDescent="0.25">
      <c r="B67" s="3" t="s">
        <v>150</v>
      </c>
      <c r="C67" s="7" t="s">
        <v>7</v>
      </c>
      <c r="D67" s="132" t="e">
        <f>D56+D58+D60</f>
        <v>#N/A</v>
      </c>
      <c r="E67" s="129"/>
    </row>
    <row r="68" spans="2:5" x14ac:dyDescent="0.25">
      <c r="B68"/>
      <c r="C68"/>
      <c r="E68" s="130"/>
    </row>
    <row r="69" spans="2:5" x14ac:dyDescent="0.25">
      <c r="B69" s="3" t="s">
        <v>151</v>
      </c>
      <c r="C69" s="7" t="s">
        <v>52</v>
      </c>
      <c r="D69" s="139" t="e">
        <f>D55*D45</f>
        <v>#N/A</v>
      </c>
      <c r="E69" s="129"/>
    </row>
    <row r="70" spans="2:5" x14ac:dyDescent="0.25">
      <c r="B70" s="3" t="s">
        <v>152</v>
      </c>
      <c r="C70" s="7" t="s">
        <v>52</v>
      </c>
      <c r="D70" s="139" t="e">
        <f>D57*D42</f>
        <v>#N/A</v>
      </c>
      <c r="E70" s="129"/>
    </row>
    <row r="71" spans="2:5" x14ac:dyDescent="0.25">
      <c r="B71" s="3" t="s">
        <v>213</v>
      </c>
      <c r="C71" s="7" t="s">
        <v>52</v>
      </c>
      <c r="D71" s="139" t="e">
        <f>D59*D48</f>
        <v>#N/A</v>
      </c>
      <c r="E71" s="129"/>
    </row>
    <row r="72" spans="2:5" x14ac:dyDescent="0.25">
      <c r="B72" s="3" t="s">
        <v>153</v>
      </c>
      <c r="C72" s="7" t="s">
        <v>52</v>
      </c>
      <c r="D72" s="139" t="e">
        <f>SUM(D69:D71)</f>
        <v>#N/A</v>
      </c>
      <c r="E72" s="129"/>
    </row>
    <row r="73" spans="2:5" x14ac:dyDescent="0.25">
      <c r="B73" s="3" t="s">
        <v>154</v>
      </c>
      <c r="C73" s="7" t="s">
        <v>52</v>
      </c>
      <c r="D73" s="140" t="e">
        <f>$D$52-D72</f>
        <v>#N/A</v>
      </c>
      <c r="E73" s="129"/>
    </row>
    <row r="74" spans="2:5" x14ac:dyDescent="0.25">
      <c r="B74" s="3" t="s">
        <v>155</v>
      </c>
      <c r="C74" s="7" t="s">
        <v>55</v>
      </c>
      <c r="D74" s="141" t="e">
        <f>D73/$D$52</f>
        <v>#N/A</v>
      </c>
      <c r="E74" s="129"/>
    </row>
    <row r="75" spans="2:5" x14ac:dyDescent="0.25">
      <c r="E75" s="129"/>
    </row>
    <row r="76" spans="2:5" x14ac:dyDescent="0.25">
      <c r="B76" s="3" t="s">
        <v>156</v>
      </c>
      <c r="C76" s="7" t="s">
        <v>52</v>
      </c>
      <c r="D76" s="139" t="e">
        <f>D56*D45</f>
        <v>#N/A</v>
      </c>
      <c r="E76" s="129"/>
    </row>
    <row r="77" spans="2:5" x14ac:dyDescent="0.25">
      <c r="B77" s="3" t="s">
        <v>157</v>
      </c>
      <c r="C77" s="7" t="s">
        <v>52</v>
      </c>
      <c r="D77" s="139" t="e">
        <f>D58*D42</f>
        <v>#N/A</v>
      </c>
      <c r="E77" s="129"/>
    </row>
    <row r="78" spans="2:5" x14ac:dyDescent="0.25">
      <c r="B78" s="3" t="s">
        <v>214</v>
      </c>
      <c r="C78" s="7" t="s">
        <v>52</v>
      </c>
      <c r="D78" s="139" t="e">
        <f>D60*D48</f>
        <v>#N/A</v>
      </c>
      <c r="E78" s="129"/>
    </row>
    <row r="79" spans="2:5" x14ac:dyDescent="0.25">
      <c r="B79" s="3" t="s">
        <v>158</v>
      </c>
      <c r="C79" s="7" t="s">
        <v>52</v>
      </c>
      <c r="D79" s="139" t="e">
        <f>SUM(D76:D78)</f>
        <v>#N/A</v>
      </c>
      <c r="E79" s="129"/>
    </row>
    <row r="80" spans="2:5" x14ac:dyDescent="0.25">
      <c r="B80" s="3" t="s">
        <v>159</v>
      </c>
      <c r="C80" s="7" t="s">
        <v>52</v>
      </c>
      <c r="D80" s="140" t="e">
        <f>$D$52-D79</f>
        <v>#N/A</v>
      </c>
      <c r="E80" s="129"/>
    </row>
    <row r="81" spans="2:5" x14ac:dyDescent="0.25">
      <c r="B81" s="3" t="s">
        <v>160</v>
      </c>
      <c r="C81" s="7" t="s">
        <v>55</v>
      </c>
      <c r="D81" s="141" t="e">
        <f>D80/$D$52</f>
        <v>#N/A</v>
      </c>
      <c r="E81" s="129"/>
    </row>
    <row r="82" spans="2:5" x14ac:dyDescent="0.25">
      <c r="E82" s="129"/>
    </row>
    <row r="83" spans="2:5" x14ac:dyDescent="0.25">
      <c r="B83" s="3" t="s">
        <v>68</v>
      </c>
      <c r="C83" s="7" t="s">
        <v>42</v>
      </c>
      <c r="D83" s="132" t="e">
        <f>$D$30*D57</f>
        <v>#N/A</v>
      </c>
      <c r="E83" s="129"/>
    </row>
    <row r="84" spans="2:5" x14ac:dyDescent="0.25">
      <c r="B84" s="3" t="s">
        <v>69</v>
      </c>
      <c r="C84" s="7" t="s">
        <v>42</v>
      </c>
      <c r="D84" s="142" t="e">
        <f>$D$31*D55</f>
        <v>#N/A</v>
      </c>
      <c r="E84" s="129"/>
    </row>
    <row r="85" spans="2:5" x14ac:dyDescent="0.25">
      <c r="B85" s="3" t="s">
        <v>215</v>
      </c>
      <c r="C85" s="7" t="s">
        <v>42</v>
      </c>
      <c r="D85" s="142" t="e">
        <f>IF(ISNUMBER(SEARCH("District",D4)),$D$33*D59,$D$32*D59)</f>
        <v>#N/A</v>
      </c>
      <c r="E85" s="129"/>
    </row>
    <row r="86" spans="2:5" x14ac:dyDescent="0.25">
      <c r="B86" s="3" t="s">
        <v>70</v>
      </c>
      <c r="C86" s="7" t="s">
        <v>42</v>
      </c>
      <c r="D86" s="143" t="e">
        <f>SUM(D83:D85)</f>
        <v>#N/A</v>
      </c>
      <c r="E86" s="129"/>
    </row>
    <row r="87" spans="2:5" x14ac:dyDescent="0.25">
      <c r="D87" s="23"/>
      <c r="E87" s="129"/>
    </row>
    <row r="88" spans="2:5" x14ac:dyDescent="0.25">
      <c r="B88" s="3" t="s">
        <v>71</v>
      </c>
      <c r="C88" s="7" t="s">
        <v>42</v>
      </c>
      <c r="D88" s="132" t="e">
        <f>$D$30*D58</f>
        <v>#N/A</v>
      </c>
      <c r="E88" s="129"/>
    </row>
    <row r="89" spans="2:5" x14ac:dyDescent="0.25">
      <c r="B89" s="3" t="s">
        <v>72</v>
      </c>
      <c r="C89" s="7" t="s">
        <v>42</v>
      </c>
      <c r="D89" s="142" t="e">
        <f>$D$31*D56</f>
        <v>#N/A</v>
      </c>
      <c r="E89" s="129"/>
    </row>
    <row r="90" spans="2:5" x14ac:dyDescent="0.25">
      <c r="B90" s="3" t="s">
        <v>216</v>
      </c>
      <c r="C90" s="7" t="s">
        <v>42</v>
      </c>
      <c r="D90" s="142" t="e">
        <f>IF(ISNUMBER(SEARCH("District",D4)),$D$33*D60,$D$32*D60)</f>
        <v>#N/A</v>
      </c>
      <c r="E90" s="129"/>
    </row>
    <row r="91" spans="2:5" x14ac:dyDescent="0.25">
      <c r="B91" s="3" t="s">
        <v>73</v>
      </c>
      <c r="C91" s="7" t="s">
        <v>42</v>
      </c>
      <c r="D91" s="143" t="e">
        <f>SUM(D88:D90)</f>
        <v>#N/A</v>
      </c>
      <c r="E91" s="129"/>
    </row>
    <row r="92" spans="2:5" x14ac:dyDescent="0.25">
      <c r="D92" s="23"/>
      <c r="E92" s="129"/>
    </row>
    <row r="93" spans="2:5" x14ac:dyDescent="0.25">
      <c r="B93" s="3" t="s">
        <v>74</v>
      </c>
      <c r="C93" s="7" t="s">
        <v>42</v>
      </c>
      <c r="D93" s="142" t="e">
        <f>$D$34-D83</f>
        <v>#N/A</v>
      </c>
      <c r="E93" s="129"/>
    </row>
    <row r="94" spans="2:5" x14ac:dyDescent="0.25">
      <c r="B94" s="3" t="s">
        <v>75</v>
      </c>
      <c r="C94" s="7" t="s">
        <v>42</v>
      </c>
      <c r="D94" s="132" t="e">
        <f>$D$35-D84</f>
        <v>#N/A</v>
      </c>
      <c r="E94" s="129"/>
    </row>
    <row r="95" spans="2:5" x14ac:dyDescent="0.25">
      <c r="B95" s="3" t="s">
        <v>217</v>
      </c>
      <c r="C95" s="7" t="s">
        <v>42</v>
      </c>
      <c r="D95" s="132" t="e">
        <f>$D$36-D85</f>
        <v>#N/A</v>
      </c>
      <c r="E95" s="129"/>
    </row>
    <row r="96" spans="2:5" x14ac:dyDescent="0.25">
      <c r="B96" s="3" t="s">
        <v>76</v>
      </c>
      <c r="C96" s="7" t="s">
        <v>42</v>
      </c>
      <c r="D96" s="132" t="e">
        <f>SUM(D93:D95)</f>
        <v>#N/A</v>
      </c>
      <c r="E96" s="129"/>
    </row>
    <row r="97" spans="2:8" x14ac:dyDescent="0.25">
      <c r="B97" s="3" t="s">
        <v>77</v>
      </c>
      <c r="C97" s="104" t="s">
        <v>55</v>
      </c>
      <c r="D97" s="144" t="e">
        <f>D96/$D$37</f>
        <v>#N/A</v>
      </c>
      <c r="E97" s="129"/>
    </row>
    <row r="98" spans="2:8" x14ac:dyDescent="0.25">
      <c r="B98" s="3" t="s">
        <v>165</v>
      </c>
      <c r="C98" s="104" t="s">
        <v>56</v>
      </c>
      <c r="D98" s="133" t="e">
        <f>D96*0.001</f>
        <v>#N/A</v>
      </c>
      <c r="E98" s="129" t="s">
        <v>167</v>
      </c>
    </row>
    <row r="99" spans="2:8" x14ac:dyDescent="0.25">
      <c r="B99" s="3" t="s">
        <v>166</v>
      </c>
      <c r="C99" s="104" t="s">
        <v>168</v>
      </c>
      <c r="D99" s="132" t="e">
        <f>D96*4.02336</f>
        <v>#N/A</v>
      </c>
      <c r="E99" s="129"/>
    </row>
    <row r="100" spans="2:8" x14ac:dyDescent="0.25">
      <c r="C100" s="104"/>
      <c r="D100" s="80"/>
      <c r="E100" s="129"/>
    </row>
    <row r="101" spans="2:8" x14ac:dyDescent="0.25">
      <c r="B101" s="3" t="s">
        <v>78</v>
      </c>
      <c r="C101" s="104" t="s">
        <v>42</v>
      </c>
      <c r="D101" s="132" t="e">
        <f>$D$34-D88</f>
        <v>#N/A</v>
      </c>
      <c r="E101" s="129"/>
    </row>
    <row r="102" spans="2:8" x14ac:dyDescent="0.25">
      <c r="B102" s="3" t="s">
        <v>79</v>
      </c>
      <c r="C102" s="104" t="s">
        <v>42</v>
      </c>
      <c r="D102" s="132" t="e">
        <f>$D$35-D89</f>
        <v>#N/A</v>
      </c>
      <c r="E102" s="129"/>
    </row>
    <row r="103" spans="2:8" x14ac:dyDescent="0.25">
      <c r="B103" s="3" t="s">
        <v>218</v>
      </c>
      <c r="C103" s="104" t="s">
        <v>42</v>
      </c>
      <c r="D103" s="132" t="e">
        <f>$D$36-D90</f>
        <v>#N/A</v>
      </c>
      <c r="E103" s="129"/>
    </row>
    <row r="104" spans="2:8" x14ac:dyDescent="0.25">
      <c r="B104" s="3" t="s">
        <v>80</v>
      </c>
      <c r="C104" s="104" t="s">
        <v>42</v>
      </c>
      <c r="D104" s="132" t="e">
        <f>SUM(D101:D103)</f>
        <v>#N/A</v>
      </c>
      <c r="E104" s="129"/>
    </row>
    <row r="105" spans="2:8" x14ac:dyDescent="0.25">
      <c r="B105" s="3" t="s">
        <v>81</v>
      </c>
      <c r="C105" s="104" t="s">
        <v>55</v>
      </c>
      <c r="D105" s="144" t="e">
        <f>D104/$D$37</f>
        <v>#N/A</v>
      </c>
      <c r="E105" s="129"/>
    </row>
    <row r="106" spans="2:8" x14ac:dyDescent="0.25">
      <c r="B106" s="3" t="s">
        <v>165</v>
      </c>
      <c r="C106" s="104" t="s">
        <v>56</v>
      </c>
      <c r="D106" s="132" t="e">
        <f>D104*0.001</f>
        <v>#N/A</v>
      </c>
      <c r="E106" s="146" t="s">
        <v>167</v>
      </c>
    </row>
    <row r="107" spans="2:8" x14ac:dyDescent="0.25">
      <c r="B107" s="3" t="s">
        <v>166</v>
      </c>
      <c r="C107" s="104" t="s">
        <v>168</v>
      </c>
      <c r="D107" s="132" t="e">
        <f>D104*4.02336</f>
        <v>#N/A</v>
      </c>
      <c r="E107" s="129"/>
    </row>
    <row r="108" spans="2:8" x14ac:dyDescent="0.25">
      <c r="C108" s="12"/>
      <c r="D108" s="137"/>
      <c r="E108" s="8"/>
    </row>
    <row r="109" spans="2:8" x14ac:dyDescent="0.25">
      <c r="B109" s="3" t="s">
        <v>262</v>
      </c>
      <c r="D109" s="132" t="s">
        <v>221</v>
      </c>
    </row>
    <row r="110" spans="2:8" x14ac:dyDescent="0.25">
      <c r="D110" s="147" t="s">
        <v>175</v>
      </c>
    </row>
    <row r="111" spans="2:8" x14ac:dyDescent="0.25">
      <c r="G111" s="101" t="s">
        <v>199</v>
      </c>
      <c r="H111" s="2"/>
    </row>
    <row r="112" spans="2:8" x14ac:dyDescent="0.25">
      <c r="B112" s="10"/>
      <c r="C112" s="11"/>
      <c r="D112" s="11" t="s">
        <v>198</v>
      </c>
      <c r="E112" s="99" t="s">
        <v>55</v>
      </c>
      <c r="G112" s="132">
        <v>0</v>
      </c>
      <c r="H112" s="136">
        <v>0</v>
      </c>
    </row>
    <row r="113" spans="2:8" x14ac:dyDescent="0.25">
      <c r="B113" s="100" t="s">
        <v>194</v>
      </c>
      <c r="D113" s="147" t="e">
        <f>IF(D62=D66,TEXT(ROUND(MIN(D62,D66),VLOOKUP(ABS(MIN(D62,D66)),$G$112:$H$118,2,TRUE)),"#,##0"),
TEXT(ROUND(MIN(D62,D66),VLOOKUP(ABS(MIN(D62,D66)),$G$112:$H$118,2,TRUE)),"#,##0") &amp;" to " &amp;TEXT(ROUND(MAX(D62,D66),VLOOKUP(ABS(MAX(D62,D66)),$G$112:$H$118,2,TRUE)),"#,##0")) &amp;" ekWh"</f>
        <v>#N/A</v>
      </c>
      <c r="E113" s="148" t="e">
        <f>IF(D61=D65,TEXT(MIN(D61,D65),"0%"),
IFERROR(TEXT(MIN(D61,D65),"0%")&amp;" to "&amp;TEXT(MAX(D61,D65),"0%"),""))</f>
        <v>#N/A</v>
      </c>
      <c r="G113" s="132">
        <v>10</v>
      </c>
      <c r="H113" s="136">
        <v>0</v>
      </c>
    </row>
    <row r="114" spans="2:8" x14ac:dyDescent="0.25">
      <c r="B114" s="100" t="s">
        <v>195</v>
      </c>
      <c r="D114" s="147" t="e">
        <f>IF(D73=D80,TEXT(ROUND(MIN(D73,D80),VLOOKUP(ABS(MIN(D73,D80)),$G$112:$H$118,2,TRUE)),"$#,##0"),
TEXT(ROUND(MIN(D73,D80),VLOOKUP(ABS(MIN(D73,D80)),$G$112:$H$118,2,TRUE)),"$#,##0") &amp;" to " &amp;TEXT(ROUND(MAX(D73,D80),VLOOKUP(ABS(MAX(D73,D80)),$G$112:$H$118,2,TRUE)),"$#,##0")) &amp;"/year"</f>
        <v>#N/A</v>
      </c>
      <c r="E114" s="148" t="e">
        <f>IF(D74=D81,TEXT(MIN('Tool Calc Sheet'!D74,'Tool Calc Sheet'!D81),"0%"),
IFERROR(TEXT(MIN('Tool Calc Sheet'!D74,'Tool Calc Sheet'!D81),"0%")&amp;" to " &amp; TEXT(MAX('Tool Calc Sheet'!D74,'Tool Calc Sheet'!D81),"0%"),""))</f>
        <v>#N/A</v>
      </c>
      <c r="G114" s="132">
        <v>100</v>
      </c>
      <c r="H114" s="136">
        <v>-1</v>
      </c>
    </row>
    <row r="115" spans="2:8" x14ac:dyDescent="0.25">
      <c r="B115" s="100" t="s">
        <v>197</v>
      </c>
      <c r="D115" s="147" t="e">
        <f>IF(D96=D104,TEXT(ROUND(MIN(D96,D104),VLOOKUP(ABS(MIN(D96,D104)),$G$112:$H$118,2,TRUE)),"#,###"),
TEXT(ROUND(MIN(D96,D104),VLOOKUP(ABS(MIN(D96,D104)),$G$112:$H$118,2,TRUE)),"#,###") &amp;" to " &amp;TEXT(ROUND(MAX(D96,D104),VLOOKUP(ABS(MAX(D96,D104)),$G$112:$H$118,2,TRUE)),"#,###")) &amp; " kgCO₂e/year"</f>
        <v>#N/A</v>
      </c>
      <c r="E115" s="148" t="e">
        <f>IF(D97=D105,TEXT(MIN('Tool Calc Sheet'!D97,'Tool Calc Sheet'!D105),"0%"),
IFERROR(TEXT(MIN('Tool Calc Sheet'!D97,'Tool Calc Sheet'!D105),"0%")&amp;" to " &amp; TEXT(MAX('Tool Calc Sheet'!D97,'Tool Calc Sheet'!D105),"0%"),""))</f>
        <v>#N/A</v>
      </c>
      <c r="G115" s="132">
        <v>199</v>
      </c>
      <c r="H115" s="136">
        <v>-1</v>
      </c>
    </row>
    <row r="116" spans="2:8" x14ac:dyDescent="0.25">
      <c r="B116" s="100"/>
      <c r="D116" s="90"/>
      <c r="G116" s="132">
        <v>1000</v>
      </c>
      <c r="H116" s="136">
        <v>-2</v>
      </c>
    </row>
    <row r="117" spans="2:8" x14ac:dyDescent="0.25">
      <c r="D117" s="90"/>
      <c r="G117" s="132">
        <v>10000</v>
      </c>
      <c r="H117" s="136">
        <v>-3</v>
      </c>
    </row>
    <row r="118" spans="2:8" x14ac:dyDescent="0.25">
      <c r="B118" s="4" t="s">
        <v>57</v>
      </c>
      <c r="G118" s="132">
        <v>1000000</v>
      </c>
      <c r="H118" s="136">
        <v>-4</v>
      </c>
    </row>
    <row r="119" spans="2:8" x14ac:dyDescent="0.25">
      <c r="B119" s="3" t="s">
        <v>58</v>
      </c>
      <c r="D119" s="154" t="str">
        <f>'GHG Emission Calculator'!O23</f>
        <v>Energy (ekWh)</v>
      </c>
      <c r="E119" s="129" t="s">
        <v>18</v>
      </c>
      <c r="G119" s="136"/>
      <c r="H119" s="136"/>
    </row>
    <row r="120" spans="2:8" x14ac:dyDescent="0.25">
      <c r="B120" s="10"/>
      <c r="C120" s="11" t="s">
        <v>82</v>
      </c>
      <c r="D120" s="24" t="s">
        <v>83</v>
      </c>
    </row>
    <row r="121" spans="2:8" x14ac:dyDescent="0.25">
      <c r="B121" s="149" t="str">
        <f>"Electricity "&amp;D119</f>
        <v>Electricity Energy (ekWh)</v>
      </c>
      <c r="C121" s="151">
        <f>IF($D$119="Emissions (kgCO₂e)",D35,IF($D$119="Energy (ekWh)",D21,0))</f>
        <v>0</v>
      </c>
      <c r="D121" s="151" t="e">
        <f>IF($D$119="Emissions (kgCO₂e)",D89,IF($D$119="Energy (ekWh)",D56,0))</f>
        <v>#N/A</v>
      </c>
    </row>
    <row r="122" spans="2:8" x14ac:dyDescent="0.25">
      <c r="B122" s="149" t="str">
        <f>"Natural Gas "&amp;D119</f>
        <v>Natural Gas Energy (ekWh)</v>
      </c>
      <c r="C122" s="151">
        <f>IF($D$119="Emissions (kgCO₂e)",D34,IF($D$119="Energy (ekWh)",D18,0))</f>
        <v>0</v>
      </c>
      <c r="D122" s="151" t="e">
        <f>IF($D$119="Emissions (kgCO₂e)",D88,IF($D$119="Energy (ekWh)",D58,0))</f>
        <v>#N/A</v>
      </c>
    </row>
    <row r="123" spans="2:8" x14ac:dyDescent="0.25">
      <c r="B123" s="149" t="str">
        <f>"District Heating " &amp;D119</f>
        <v>District Heating Energy (ekWh)</v>
      </c>
      <c r="C123" s="151">
        <f>IF($D$119="Emissions (kgCO₂e)",D36,IF($D$119="Energy (ekWh)",D25,0))</f>
        <v>0</v>
      </c>
      <c r="D123" s="151" t="e">
        <f>IF($D$119="Emissions (kgCO₂e)",D90,IF($D$119="Energy (ekWh)",D59,0))</f>
        <v>#N/A</v>
      </c>
    </row>
    <row r="124" spans="2:8" x14ac:dyDescent="0.25">
      <c r="B124" s="149" t="str">
        <f>IFERROR(IF(D119="Emissions (kgCO₂e)",E115,E113),"")</f>
        <v/>
      </c>
      <c r="C124" s="151">
        <v>1</v>
      </c>
      <c r="D124" s="151">
        <v>1</v>
      </c>
    </row>
    <row r="125" spans="2:8" x14ac:dyDescent="0.25">
      <c r="B125" s="150" t="s">
        <v>59</v>
      </c>
      <c r="C125" s="151">
        <f>SUM(C121:C123)</f>
        <v>0</v>
      </c>
      <c r="D125" s="151" t="e">
        <f>SUM(D121:D123)</f>
        <v>#N/A</v>
      </c>
    </row>
    <row r="126" spans="2:8" x14ac:dyDescent="0.25">
      <c r="C126" s="152"/>
      <c r="D126" s="153"/>
    </row>
    <row r="127" spans="2:8" x14ac:dyDescent="0.25">
      <c r="B127" s="22"/>
      <c r="C127" s="5"/>
      <c r="D127"/>
      <c r="E127"/>
    </row>
    <row r="128" spans="2:8" x14ac:dyDescent="0.25">
      <c r="B128" s="22"/>
      <c r="C128" s="5"/>
      <c r="D128"/>
      <c r="E128"/>
    </row>
    <row r="129" spans="2:5" x14ac:dyDescent="0.25">
      <c r="B129" s="22"/>
      <c r="C129" s="5"/>
      <c r="D129"/>
      <c r="E129"/>
    </row>
    <row r="130" spans="2:5" x14ac:dyDescent="0.25">
      <c r="B130" s="22"/>
      <c r="C130" s="5"/>
      <c r="D130"/>
      <c r="E130"/>
    </row>
  </sheetData>
  <hyperlinks>
    <hyperlink ref="F31" r:id="rId1" location="toc8" display="https://www.canada.ca/en/environment-climate-change/services/climate-change/pricing-pollution-how-it-will-work/output-based-pricing-system/federal-greenhouse-gas-offset-system/emission-factors-reference-values.html - toc8" xr:uid="{B7193341-981C-45A6-BEC8-FBDF3E1405D3}"/>
    <hyperlink ref="F17" r:id="rId2" location=":~:text=1%20m3%20of%20natural%20gas%20is%20equal%20to%3A,35%2C300%20BTU.%2031%2C736%20kJ.%207%2C580%20kcal.%2010.55%20kWh." display="https://learnmetrics.com/m3-gas-to-kwh/ - :~:text=1%20m3%20of%20natural%20gas%20is%20equal%20to%3A,35%2C300%20BTU.%2031%2C736%20kJ.%207%2C580%20kcal.%2010.55%20kWh." xr:uid="{96BE8C26-FBA4-47FB-AC43-02E2B0B6AB1E}"/>
    <hyperlink ref="E106" r:id="rId3" location="results" xr:uid="{455B2B05-3C18-43AA-8EB8-22EC6269DA00}"/>
  </hyperlinks>
  <pageMargins left="0.7" right="0.7" top="0.75" bottom="0.75" header="0.3" footer="0.3"/>
  <pageSetup paperSize="9" scale="45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1037-0CCB-4A3B-80A3-6E57B9A17F19}">
  <sheetPr>
    <tabColor theme="9" tint="0.39997558519241921"/>
    <pageSetUpPr fitToPage="1"/>
  </sheetPr>
  <dimension ref="B2:G16"/>
  <sheetViews>
    <sheetView workbookViewId="0"/>
  </sheetViews>
  <sheetFormatPr defaultRowHeight="15" x14ac:dyDescent="0.25"/>
  <cols>
    <col min="2" max="3" width="28.140625" customWidth="1"/>
    <col min="4" max="4" width="24.140625" customWidth="1"/>
    <col min="5" max="5" width="24.42578125" bestFit="1" customWidth="1"/>
    <col min="6" max="6" width="25.7109375" customWidth="1"/>
    <col min="7" max="7" width="53.7109375" customWidth="1"/>
  </cols>
  <sheetData>
    <row r="2" spans="2:7" ht="18.75" x14ac:dyDescent="0.3">
      <c r="B2" s="28" t="s">
        <v>86</v>
      </c>
      <c r="C2" s="28"/>
    </row>
    <row r="3" spans="2:7" x14ac:dyDescent="0.25">
      <c r="B3" t="s">
        <v>261</v>
      </c>
    </row>
    <row r="5" spans="2:7" x14ac:dyDescent="0.25">
      <c r="B5" s="13" t="s">
        <v>19</v>
      </c>
      <c r="C5" s="17" t="s">
        <v>137</v>
      </c>
      <c r="D5" s="13" t="s">
        <v>138</v>
      </c>
      <c r="E5" s="13" t="s">
        <v>139</v>
      </c>
      <c r="F5" s="13" t="s">
        <v>140</v>
      </c>
      <c r="G5" s="163" t="s">
        <v>286</v>
      </c>
    </row>
    <row r="6" spans="2:7" x14ac:dyDescent="0.25">
      <c r="B6" s="63" t="s">
        <v>141</v>
      </c>
      <c r="C6" s="63">
        <v>0</v>
      </c>
      <c r="D6" s="63">
        <v>0</v>
      </c>
      <c r="E6" s="63">
        <v>0</v>
      </c>
      <c r="F6" s="63">
        <v>0</v>
      </c>
      <c r="G6" s="164"/>
    </row>
    <row r="7" spans="2:7" x14ac:dyDescent="0.25">
      <c r="B7" s="19" t="s">
        <v>103</v>
      </c>
      <c r="C7" s="19">
        <v>14</v>
      </c>
      <c r="D7" s="18">
        <v>270</v>
      </c>
      <c r="E7" s="18">
        <v>219</v>
      </c>
      <c r="F7" s="18">
        <v>489</v>
      </c>
      <c r="G7" s="165" t="s">
        <v>287</v>
      </c>
    </row>
    <row r="8" spans="2:7" x14ac:dyDescent="0.25">
      <c r="B8" s="19" t="s">
        <v>92</v>
      </c>
      <c r="C8" s="19">
        <v>4</v>
      </c>
      <c r="D8" s="18">
        <v>201</v>
      </c>
      <c r="E8" s="18">
        <v>284</v>
      </c>
      <c r="F8" s="18">
        <v>485</v>
      </c>
      <c r="G8" s="165" t="s">
        <v>288</v>
      </c>
    </row>
    <row r="9" spans="2:7" x14ac:dyDescent="0.25">
      <c r="B9" s="19" t="s">
        <v>93</v>
      </c>
      <c r="C9" s="19">
        <v>13</v>
      </c>
      <c r="D9" s="18">
        <v>159</v>
      </c>
      <c r="E9" s="18">
        <v>231</v>
      </c>
      <c r="F9" s="18">
        <v>389</v>
      </c>
      <c r="G9" s="165" t="s">
        <v>289</v>
      </c>
    </row>
    <row r="10" spans="2:7" x14ac:dyDescent="0.25">
      <c r="B10" s="19" t="s">
        <v>117</v>
      </c>
      <c r="C10" s="19">
        <v>10</v>
      </c>
      <c r="D10" s="18">
        <v>149</v>
      </c>
      <c r="E10" s="18">
        <v>204</v>
      </c>
      <c r="F10" s="18">
        <v>353</v>
      </c>
      <c r="G10" s="165" t="s">
        <v>290</v>
      </c>
    </row>
    <row r="11" spans="2:7" x14ac:dyDescent="0.25">
      <c r="B11" s="19" t="s">
        <v>94</v>
      </c>
      <c r="C11" s="19">
        <v>7</v>
      </c>
      <c r="D11" s="18">
        <v>127</v>
      </c>
      <c r="E11" s="18">
        <v>248</v>
      </c>
      <c r="F11" s="18">
        <v>375</v>
      </c>
      <c r="G11" s="165" t="s">
        <v>291</v>
      </c>
    </row>
    <row r="12" spans="2:7" x14ac:dyDescent="0.25">
      <c r="B12" s="19" t="s">
        <v>128</v>
      </c>
      <c r="C12" s="19">
        <v>30</v>
      </c>
      <c r="D12" s="18">
        <v>147</v>
      </c>
      <c r="E12" s="18">
        <v>43</v>
      </c>
      <c r="F12" s="18">
        <f>SUM(D12:E12)</f>
        <v>190</v>
      </c>
      <c r="G12" s="165" t="s">
        <v>292</v>
      </c>
    </row>
    <row r="13" spans="2:7" x14ac:dyDescent="0.25">
      <c r="B13" s="19" t="s">
        <v>131</v>
      </c>
      <c r="C13" s="19">
        <v>23</v>
      </c>
      <c r="D13" s="18">
        <v>203</v>
      </c>
      <c r="E13" s="18">
        <v>38</v>
      </c>
      <c r="F13" s="18">
        <f>SUM(D13:E13)</f>
        <v>241</v>
      </c>
      <c r="G13" s="165" t="s">
        <v>293</v>
      </c>
    </row>
    <row r="14" spans="2:7" x14ac:dyDescent="0.25">
      <c r="B14" s="19" t="s">
        <v>125</v>
      </c>
      <c r="C14" s="19">
        <v>8</v>
      </c>
      <c r="D14" s="18">
        <v>234</v>
      </c>
      <c r="E14" s="18">
        <v>107</v>
      </c>
      <c r="F14" s="18">
        <v>341</v>
      </c>
      <c r="G14" s="165" t="s">
        <v>294</v>
      </c>
    </row>
    <row r="15" spans="2:7" x14ac:dyDescent="0.25">
      <c r="B15" s="19" t="s">
        <v>60</v>
      </c>
      <c r="C15" s="19">
        <v>12</v>
      </c>
      <c r="D15" s="18">
        <v>215</v>
      </c>
      <c r="E15" s="18">
        <v>93</v>
      </c>
      <c r="F15" s="18">
        <v>308</v>
      </c>
      <c r="G15" s="165" t="s">
        <v>295</v>
      </c>
    </row>
    <row r="16" spans="2:7" x14ac:dyDescent="0.25">
      <c r="B16" s="19" t="s">
        <v>120</v>
      </c>
      <c r="C16" s="19">
        <v>22</v>
      </c>
      <c r="D16" s="18">
        <v>268</v>
      </c>
      <c r="E16" s="18">
        <v>322</v>
      </c>
      <c r="F16" s="18">
        <v>590</v>
      </c>
      <c r="G16" s="165" t="s">
        <v>296</v>
      </c>
    </row>
  </sheetData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C6D2-12FB-47C5-BCC9-C19E09B1375B}">
  <sheetPr filterMode="1">
    <tabColor theme="9" tint="0.39997558519241921"/>
  </sheetPr>
  <dimension ref="A2:DE108"/>
  <sheetViews>
    <sheetView zoomScale="115" zoomScaleNormal="115" workbookViewId="0">
      <pane xSplit="2" ySplit="5" topLeftCell="C28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9.140625" style="67"/>
    <col min="2" max="2" width="37.85546875" style="67" customWidth="1"/>
    <col min="3" max="3" width="28.7109375" style="67" customWidth="1"/>
    <col min="4" max="4" width="22.7109375" style="67" customWidth="1"/>
    <col min="5" max="6" width="9.42578125" style="67" hidden="1" customWidth="1"/>
    <col min="7" max="11" width="9.42578125" style="69" hidden="1" customWidth="1"/>
    <col min="12" max="12" width="10.85546875" style="69" hidden="1" customWidth="1"/>
    <col min="13" max="13" width="9.42578125" style="69" customWidth="1"/>
    <col min="14" max="14" width="15.42578125" style="69" customWidth="1"/>
    <col min="15" max="15" width="13.42578125" style="69" customWidth="1"/>
    <col min="16" max="16" width="9.42578125" style="69" customWidth="1"/>
    <col min="17" max="18" width="9.42578125" style="112" customWidth="1"/>
    <col min="19" max="20" width="9.42578125" style="67" customWidth="1"/>
    <col min="21" max="28" width="9.42578125" style="67" hidden="1" customWidth="1"/>
    <col min="29" max="16384" width="9.140625" style="67"/>
  </cols>
  <sheetData>
    <row r="2" spans="1:109" ht="15" x14ac:dyDescent="0.25">
      <c r="B2" s="68" t="s">
        <v>97</v>
      </c>
    </row>
    <row r="4" spans="1:109" x14ac:dyDescent="0.2">
      <c r="B4" s="67" cm="1">
        <f t="array" ref="B4:DE4">COLUMN(B4:DE4)-1</f>
        <v>1</v>
      </c>
      <c r="C4" s="67">
        <v>2</v>
      </c>
      <c r="D4" s="67">
        <v>3</v>
      </c>
      <c r="E4" s="67">
        <v>4</v>
      </c>
      <c r="F4" s="67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9">
        <v>14</v>
      </c>
      <c r="P4" s="69">
        <v>15</v>
      </c>
      <c r="Q4" s="69">
        <v>16</v>
      </c>
      <c r="R4" s="69">
        <v>17</v>
      </c>
      <c r="S4" s="67">
        <v>18</v>
      </c>
      <c r="T4" s="67">
        <v>19</v>
      </c>
      <c r="U4" s="67">
        <v>20</v>
      </c>
      <c r="V4" s="67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67">
        <v>32</v>
      </c>
      <c r="AH4" s="67">
        <v>33</v>
      </c>
      <c r="AI4" s="67">
        <v>34</v>
      </c>
      <c r="AJ4" s="67">
        <v>35</v>
      </c>
      <c r="AK4" s="67">
        <v>36</v>
      </c>
      <c r="AL4" s="67">
        <v>37</v>
      </c>
      <c r="AM4" s="67">
        <v>38</v>
      </c>
      <c r="AN4" s="67">
        <v>39</v>
      </c>
      <c r="AO4" s="67">
        <v>40</v>
      </c>
      <c r="AP4" s="67">
        <v>41</v>
      </c>
      <c r="AQ4" s="67">
        <v>42</v>
      </c>
      <c r="AR4" s="67">
        <v>43</v>
      </c>
      <c r="AS4" s="67">
        <v>44</v>
      </c>
      <c r="AT4" s="67">
        <v>45</v>
      </c>
      <c r="AU4" s="67">
        <v>46</v>
      </c>
      <c r="AV4" s="67">
        <v>47</v>
      </c>
      <c r="AW4" s="67">
        <v>48</v>
      </c>
      <c r="AX4" s="67">
        <v>49</v>
      </c>
      <c r="AY4" s="67">
        <v>50</v>
      </c>
      <c r="AZ4" s="67">
        <v>51</v>
      </c>
      <c r="BA4" s="67">
        <v>52</v>
      </c>
      <c r="BB4" s="67">
        <v>53</v>
      </c>
      <c r="BC4" s="67">
        <v>54</v>
      </c>
      <c r="BD4" s="67">
        <v>55</v>
      </c>
      <c r="BE4" s="67">
        <v>56</v>
      </c>
      <c r="BF4" s="67">
        <v>57</v>
      </c>
      <c r="BG4" s="67">
        <v>58</v>
      </c>
      <c r="BH4" s="67">
        <v>59</v>
      </c>
      <c r="BI4" s="67">
        <v>60</v>
      </c>
      <c r="BJ4" s="67">
        <v>61</v>
      </c>
      <c r="BK4" s="67">
        <v>62</v>
      </c>
      <c r="BL4" s="67">
        <v>63</v>
      </c>
      <c r="BM4" s="67">
        <v>64</v>
      </c>
      <c r="BN4" s="67">
        <v>65</v>
      </c>
      <c r="BO4" s="67">
        <v>66</v>
      </c>
      <c r="BP4" s="67">
        <v>67</v>
      </c>
      <c r="BQ4" s="67">
        <v>68</v>
      </c>
      <c r="BR4" s="67">
        <v>69</v>
      </c>
      <c r="BS4" s="67">
        <v>70</v>
      </c>
      <c r="BT4" s="67">
        <v>71</v>
      </c>
      <c r="BU4" s="67">
        <v>72</v>
      </c>
      <c r="BV4" s="67">
        <v>73</v>
      </c>
      <c r="BW4" s="67">
        <v>74</v>
      </c>
      <c r="BX4" s="67">
        <v>75</v>
      </c>
      <c r="BY4" s="67">
        <v>76</v>
      </c>
      <c r="BZ4" s="67">
        <v>77</v>
      </c>
      <c r="CA4" s="67">
        <v>78</v>
      </c>
      <c r="CB4" s="67">
        <v>79</v>
      </c>
      <c r="CC4" s="67">
        <v>80</v>
      </c>
      <c r="CD4" s="67">
        <v>81</v>
      </c>
      <c r="CE4" s="67">
        <v>82</v>
      </c>
      <c r="CF4" s="67">
        <v>83</v>
      </c>
      <c r="CG4" s="67">
        <v>84</v>
      </c>
      <c r="CH4" s="67">
        <v>85</v>
      </c>
      <c r="CI4" s="67">
        <v>86</v>
      </c>
      <c r="CJ4" s="67">
        <v>87</v>
      </c>
      <c r="CK4" s="67">
        <v>88</v>
      </c>
      <c r="CL4" s="67">
        <v>89</v>
      </c>
      <c r="CM4" s="67">
        <v>90</v>
      </c>
      <c r="CN4" s="67">
        <v>91</v>
      </c>
      <c r="CO4" s="67">
        <v>92</v>
      </c>
      <c r="CP4" s="67">
        <v>93</v>
      </c>
      <c r="CQ4" s="67">
        <v>94</v>
      </c>
      <c r="CR4" s="67">
        <v>95</v>
      </c>
      <c r="CS4" s="67">
        <v>96</v>
      </c>
      <c r="CT4" s="67">
        <v>97</v>
      </c>
      <c r="CU4" s="67">
        <v>98</v>
      </c>
      <c r="CV4" s="67">
        <v>99</v>
      </c>
      <c r="CW4" s="67">
        <v>100</v>
      </c>
      <c r="CX4" s="67">
        <v>101</v>
      </c>
      <c r="CY4" s="67">
        <v>102</v>
      </c>
      <c r="CZ4" s="67">
        <v>103</v>
      </c>
      <c r="DA4" s="67">
        <v>104</v>
      </c>
      <c r="DB4" s="67">
        <v>105</v>
      </c>
      <c r="DC4" s="67">
        <v>106</v>
      </c>
      <c r="DD4" s="67">
        <v>107</v>
      </c>
      <c r="DE4" s="67">
        <v>108</v>
      </c>
    </row>
    <row r="5" spans="1:109" ht="60" x14ac:dyDescent="0.2">
      <c r="A5" s="70" t="s">
        <v>98</v>
      </c>
      <c r="B5" s="70" t="s">
        <v>98</v>
      </c>
      <c r="C5" s="115" t="s">
        <v>251</v>
      </c>
      <c r="D5" s="70" t="s">
        <v>19</v>
      </c>
      <c r="E5" s="70" t="s">
        <v>99</v>
      </c>
      <c r="F5" s="70" t="s">
        <v>100</v>
      </c>
      <c r="G5" s="71" t="s">
        <v>64</v>
      </c>
      <c r="H5" s="71" t="s">
        <v>65</v>
      </c>
      <c r="I5" s="71" t="s">
        <v>101</v>
      </c>
      <c r="J5" s="71" t="s">
        <v>177</v>
      </c>
      <c r="K5" s="71" t="s">
        <v>178</v>
      </c>
      <c r="L5" s="71" t="s">
        <v>227</v>
      </c>
      <c r="M5" s="71" t="s">
        <v>179</v>
      </c>
      <c r="N5" s="71" t="s">
        <v>180</v>
      </c>
      <c r="O5" s="71" t="s">
        <v>181</v>
      </c>
      <c r="P5" s="71" t="s">
        <v>182</v>
      </c>
      <c r="Q5" s="71" t="s">
        <v>229</v>
      </c>
      <c r="R5" s="71" t="s">
        <v>230</v>
      </c>
      <c r="S5" s="71" t="s">
        <v>183</v>
      </c>
      <c r="T5" s="71" t="s">
        <v>184</v>
      </c>
      <c r="U5" s="71" t="s">
        <v>185</v>
      </c>
      <c r="V5" s="71" t="s">
        <v>186</v>
      </c>
      <c r="W5" s="71" t="s">
        <v>187</v>
      </c>
      <c r="X5" s="71" t="s">
        <v>188</v>
      </c>
      <c r="Y5" s="71" t="s">
        <v>189</v>
      </c>
      <c r="Z5" s="71" t="s">
        <v>190</v>
      </c>
      <c r="AA5" s="71" t="s">
        <v>191</v>
      </c>
      <c r="AB5" s="71" t="s">
        <v>192</v>
      </c>
    </row>
    <row r="6" spans="1:109" ht="15" hidden="1" x14ac:dyDescent="0.2">
      <c r="A6" s="155" t="s">
        <v>236</v>
      </c>
      <c r="B6" s="72" t="str">
        <f t="shared" ref="B6:B37" si="0">C6&amp;D6</f>
        <v>Appliance UpgradesBig Box Store</v>
      </c>
      <c r="C6" s="73" t="s">
        <v>109</v>
      </c>
      <c r="D6" s="74" t="s">
        <v>93</v>
      </c>
      <c r="E6" s="75">
        <v>0.01</v>
      </c>
      <c r="F6" s="75">
        <v>0.1</v>
      </c>
      <c r="G6" s="75">
        <v>0.01</v>
      </c>
      <c r="H6" s="75">
        <v>0.1</v>
      </c>
      <c r="I6" s="75">
        <f t="shared" ref="I6:I37" si="1">AVERAGE(G6:H6)</f>
        <v>5.5E-2</v>
      </c>
      <c r="J6" s="109">
        <f>VLOOKUP(D6,'Existing Building EUI'!$B$7:$E$16,3,FALSE)</f>
        <v>159</v>
      </c>
      <c r="K6" s="109">
        <f>VLOOKUP(D6,'Existing Building EUI'!$B$7:$E$16,4,FALSE)</f>
        <v>231</v>
      </c>
      <c r="L6" s="109">
        <v>0</v>
      </c>
      <c r="M6" s="113">
        <v>0</v>
      </c>
      <c r="N6" s="75">
        <v>0</v>
      </c>
      <c r="O6" s="114">
        <v>0.02</v>
      </c>
      <c r="P6" s="114">
        <v>0.16500000000000001</v>
      </c>
      <c r="Q6" s="75">
        <v>0</v>
      </c>
      <c r="R6" s="75">
        <v>0</v>
      </c>
      <c r="S6" s="75">
        <v>0</v>
      </c>
      <c r="T6" s="75">
        <v>0</v>
      </c>
      <c r="U6" s="97">
        <f t="shared" ref="U6:U37" si="2">J6-(J6*M6)</f>
        <v>159</v>
      </c>
      <c r="V6" s="97">
        <f t="shared" ref="V6:V37" si="3">J6-(J6*N6)</f>
        <v>159</v>
      </c>
      <c r="W6" s="97">
        <f t="shared" ref="W6:W37" si="4">K6-((K6*O6)+(J6*S6))</f>
        <v>226.38</v>
      </c>
      <c r="X6" s="97">
        <f t="shared" ref="X6:X37" si="5">K6-((K6*P6)+(J6*T6))</f>
        <v>192.88499999999999</v>
      </c>
      <c r="Y6" s="97">
        <f t="shared" ref="Y6:Y37" si="6">(Q6*J6)*-1</f>
        <v>0</v>
      </c>
      <c r="Z6" s="97">
        <f t="shared" ref="Z6:Z19" si="7">R6*J6</f>
        <v>0</v>
      </c>
      <c r="AA6" s="114">
        <f t="shared" ref="AA6:AA37" si="8">(SUM(U6,W6,Y6)-SUM(J6:K6))/SUM(J6:K6)*-1</f>
        <v>1.1846153846153859E-2</v>
      </c>
      <c r="AB6" s="114">
        <f t="shared" ref="AB6:AB37" si="9">(SUM(V6,X6,Z6)-SUM(J6:K6))/SUM(J6:K6)*-1</f>
        <v>9.773076923076926E-2</v>
      </c>
    </row>
    <row r="7" spans="1:109" ht="41.25" hidden="1" customHeight="1" x14ac:dyDescent="0.2">
      <c r="A7" s="155" t="s">
        <v>236</v>
      </c>
      <c r="B7" s="72" t="str">
        <f t="shared" si="0"/>
        <v>Building Envelope - High Performance Glazing with Enhanced Air SealingBig Box Store</v>
      </c>
      <c r="C7" s="73" t="s">
        <v>102</v>
      </c>
      <c r="D7" s="74" t="s">
        <v>93</v>
      </c>
      <c r="E7" s="75">
        <v>0.11</v>
      </c>
      <c r="F7" s="75">
        <v>0.2</v>
      </c>
      <c r="G7" s="75">
        <v>0.21</v>
      </c>
      <c r="H7" s="75">
        <v>0.3</v>
      </c>
      <c r="I7" s="75">
        <f t="shared" si="1"/>
        <v>0.255</v>
      </c>
      <c r="J7" s="109">
        <f>VLOOKUP(D7,'Existing Building EUI'!$B$7:$E$16,3,FALSE)</f>
        <v>159</v>
      </c>
      <c r="K7" s="109">
        <f>VLOOKUP(D7,'Existing Building EUI'!$B$7:$E$16,4,FALSE)</f>
        <v>231</v>
      </c>
      <c r="L7" s="109">
        <v>0</v>
      </c>
      <c r="M7" s="113">
        <v>0.15</v>
      </c>
      <c r="N7" s="75">
        <v>0.2</v>
      </c>
      <c r="O7" s="114">
        <v>0.08</v>
      </c>
      <c r="P7" s="114">
        <v>0.15</v>
      </c>
      <c r="Q7" s="75">
        <v>0</v>
      </c>
      <c r="R7" s="75">
        <v>0</v>
      </c>
      <c r="S7" s="75">
        <v>0</v>
      </c>
      <c r="T7" s="75">
        <v>0</v>
      </c>
      <c r="U7" s="97">
        <f t="shared" si="2"/>
        <v>135.15</v>
      </c>
      <c r="V7" s="97">
        <f t="shared" si="3"/>
        <v>127.2</v>
      </c>
      <c r="W7" s="97">
        <f t="shared" si="4"/>
        <v>212.52</v>
      </c>
      <c r="X7" s="97">
        <f t="shared" si="5"/>
        <v>196.35</v>
      </c>
      <c r="Y7" s="97">
        <f t="shared" si="6"/>
        <v>0</v>
      </c>
      <c r="Z7" s="97">
        <f t="shared" si="7"/>
        <v>0</v>
      </c>
      <c r="AA7" s="114">
        <f t="shared" si="8"/>
        <v>0.1085384615384615</v>
      </c>
      <c r="AB7" s="114">
        <f t="shared" si="9"/>
        <v>0.17038461538461536</v>
      </c>
    </row>
    <row r="8" spans="1:109" ht="28.5" hidden="1" customHeight="1" x14ac:dyDescent="0.2">
      <c r="A8" s="155" t="s">
        <v>236</v>
      </c>
      <c r="B8" s="72" t="str">
        <f t="shared" si="0"/>
        <v>Building Envelope - High Performance Glazing, Wall Insulation, &amp; Roof InsulationBig Box Store</v>
      </c>
      <c r="C8" s="73" t="s">
        <v>104</v>
      </c>
      <c r="D8" s="74" t="s">
        <v>93</v>
      </c>
      <c r="E8" s="75">
        <v>0.21</v>
      </c>
      <c r="F8" s="75">
        <v>0.3</v>
      </c>
      <c r="G8" s="75">
        <v>0.21</v>
      </c>
      <c r="H8" s="75">
        <v>0.3</v>
      </c>
      <c r="I8" s="75">
        <f t="shared" si="1"/>
        <v>0.255</v>
      </c>
      <c r="J8" s="109">
        <f>VLOOKUP(D8,'Existing Building EUI'!$B$7:$E$16,3,FALSE)</f>
        <v>159</v>
      </c>
      <c r="K8" s="109">
        <f>VLOOKUP(D8,'Existing Building EUI'!$B$7:$E$16,4,FALSE)</f>
        <v>231</v>
      </c>
      <c r="L8" s="109">
        <v>0</v>
      </c>
      <c r="M8" s="113">
        <v>0.25</v>
      </c>
      <c r="N8" s="75">
        <v>0.35</v>
      </c>
      <c r="O8" s="114">
        <v>0.18</v>
      </c>
      <c r="P8" s="114">
        <v>0.2</v>
      </c>
      <c r="Q8" s="75">
        <v>0</v>
      </c>
      <c r="R8" s="75">
        <v>0</v>
      </c>
      <c r="S8" s="75">
        <v>0</v>
      </c>
      <c r="T8" s="75">
        <v>0</v>
      </c>
      <c r="U8" s="97">
        <f t="shared" si="2"/>
        <v>119.25</v>
      </c>
      <c r="V8" s="97">
        <f t="shared" si="3"/>
        <v>103.35</v>
      </c>
      <c r="W8" s="97">
        <f t="shared" si="4"/>
        <v>189.42000000000002</v>
      </c>
      <c r="X8" s="97">
        <f t="shared" si="5"/>
        <v>184.8</v>
      </c>
      <c r="Y8" s="97">
        <f t="shared" si="6"/>
        <v>0</v>
      </c>
      <c r="Z8" s="97">
        <f t="shared" si="7"/>
        <v>0</v>
      </c>
      <c r="AA8" s="114">
        <f t="shared" si="8"/>
        <v>0.20853846153846151</v>
      </c>
      <c r="AB8" s="114">
        <f t="shared" si="9"/>
        <v>0.26115384615384624</v>
      </c>
    </row>
    <row r="9" spans="1:109" ht="28.5" x14ac:dyDescent="0.2">
      <c r="A9" s="155" t="s">
        <v>236</v>
      </c>
      <c r="B9" s="72" t="str">
        <f t="shared" si="0"/>
        <v>Domestic Hot Water - Electric Water HeaterBig Box Store</v>
      </c>
      <c r="C9" s="73" t="s">
        <v>115</v>
      </c>
      <c r="D9" s="74" t="s">
        <v>93</v>
      </c>
      <c r="E9" s="75">
        <v>0.01</v>
      </c>
      <c r="F9" s="75">
        <v>0.05</v>
      </c>
      <c r="G9" s="75">
        <v>0.01</v>
      </c>
      <c r="H9" s="75">
        <v>0.1</v>
      </c>
      <c r="I9" s="75">
        <f t="shared" si="1"/>
        <v>5.5E-2</v>
      </c>
      <c r="J9" s="109">
        <f>VLOOKUP(D9,'Existing Building EUI'!$B$7:$E$16,3,FALSE)</f>
        <v>159</v>
      </c>
      <c r="K9" s="109">
        <f>VLOOKUP(D9,'Existing Building EUI'!$B$7:$E$16,4,FALSE)</f>
        <v>231</v>
      </c>
      <c r="L9" s="109">
        <v>0</v>
      </c>
      <c r="M9" s="113">
        <v>0.02</v>
      </c>
      <c r="N9" s="75">
        <v>0.15</v>
      </c>
      <c r="O9" s="114">
        <v>0</v>
      </c>
      <c r="P9" s="114">
        <v>0</v>
      </c>
      <c r="Q9" s="75">
        <v>0</v>
      </c>
      <c r="R9" s="75">
        <v>0</v>
      </c>
      <c r="S9" s="98">
        <f>M9/-4</f>
        <v>-5.0000000000000001E-3</v>
      </c>
      <c r="T9" s="98">
        <f>N9/-4</f>
        <v>-3.7499999999999999E-2</v>
      </c>
      <c r="U9" s="97">
        <f t="shared" si="2"/>
        <v>155.82</v>
      </c>
      <c r="V9" s="97">
        <f t="shared" si="3"/>
        <v>135.15</v>
      </c>
      <c r="W9" s="97">
        <f t="shared" si="4"/>
        <v>231.79499999999999</v>
      </c>
      <c r="X9" s="97">
        <f t="shared" si="5"/>
        <v>236.96250000000001</v>
      </c>
      <c r="Y9" s="97">
        <f t="shared" si="6"/>
        <v>0</v>
      </c>
      <c r="Z9" s="97">
        <f t="shared" si="7"/>
        <v>0</v>
      </c>
      <c r="AA9" s="114">
        <f t="shared" si="8"/>
        <v>6.115384615384592E-3</v>
      </c>
      <c r="AB9" s="114">
        <f t="shared" si="9"/>
        <v>4.5865384615384586E-2</v>
      </c>
    </row>
    <row r="10" spans="1:109" ht="57" hidden="1" x14ac:dyDescent="0.2">
      <c r="A10" s="155" t="s">
        <v>236</v>
      </c>
      <c r="B10" s="72" t="str">
        <f t="shared" si="0"/>
        <v>Heating &amp; Cooling System - Rooftop Air Source Heat Pumps with Backup Electric HeatBig Box Store</v>
      </c>
      <c r="C10" s="110" t="s">
        <v>116</v>
      </c>
      <c r="D10" s="74" t="s">
        <v>93</v>
      </c>
      <c r="E10" s="75">
        <v>0.11</v>
      </c>
      <c r="F10" s="75">
        <v>0.2</v>
      </c>
      <c r="G10" s="75">
        <v>0.3</v>
      </c>
      <c r="H10" s="75">
        <v>0.55000000000000004</v>
      </c>
      <c r="I10" s="75">
        <f t="shared" si="1"/>
        <v>0.42500000000000004</v>
      </c>
      <c r="J10" s="109">
        <f>VLOOKUP(D10,'Existing Building EUI'!$B$7:$E$16,3,FALSE)</f>
        <v>159</v>
      </c>
      <c r="K10" s="109">
        <f>VLOOKUP(D10,'Existing Building EUI'!$B$7:$E$16,4,FALSE)</f>
        <v>231</v>
      </c>
      <c r="L10" s="109">
        <v>0</v>
      </c>
      <c r="M10" s="113">
        <v>0.85</v>
      </c>
      <c r="N10" s="75">
        <v>0.9</v>
      </c>
      <c r="O10" s="114">
        <v>0.05</v>
      </c>
      <c r="P10" s="114">
        <v>0.08</v>
      </c>
      <c r="Q10" s="75">
        <v>0</v>
      </c>
      <c r="R10" s="75">
        <v>0</v>
      </c>
      <c r="S10" s="98">
        <f>M10/-2</f>
        <v>-0.42499999999999999</v>
      </c>
      <c r="T10" s="98">
        <f>N10/-2</f>
        <v>-0.45</v>
      </c>
      <c r="U10" s="97">
        <f t="shared" si="2"/>
        <v>23.849999999999994</v>
      </c>
      <c r="V10" s="97">
        <f t="shared" si="3"/>
        <v>15.900000000000006</v>
      </c>
      <c r="W10" s="97">
        <f t="shared" si="4"/>
        <v>287.02499999999998</v>
      </c>
      <c r="X10" s="97">
        <f t="shared" si="5"/>
        <v>284.07</v>
      </c>
      <c r="Y10" s="97">
        <f t="shared" si="6"/>
        <v>0</v>
      </c>
      <c r="Z10" s="97">
        <f t="shared" si="7"/>
        <v>0</v>
      </c>
      <c r="AA10" s="114">
        <f t="shared" si="8"/>
        <v>0.20288461538461539</v>
      </c>
      <c r="AB10" s="114">
        <f t="shared" si="9"/>
        <v>0.23084615384615378</v>
      </c>
    </row>
    <row r="11" spans="1:109" ht="28.5" hidden="1" customHeight="1" x14ac:dyDescent="0.2">
      <c r="A11" s="155" t="s">
        <v>236</v>
      </c>
      <c r="B11" s="72" t="str">
        <f t="shared" si="0"/>
        <v>Lighting and Lighting ControlsBig Box Store</v>
      </c>
      <c r="C11" s="73" t="s">
        <v>110</v>
      </c>
      <c r="D11" s="74" t="s">
        <v>93</v>
      </c>
      <c r="E11" s="75">
        <v>0.01</v>
      </c>
      <c r="F11" s="75">
        <v>0.1</v>
      </c>
      <c r="G11" s="75">
        <v>0.01</v>
      </c>
      <c r="H11" s="75">
        <v>0.1</v>
      </c>
      <c r="I11" s="75">
        <f t="shared" si="1"/>
        <v>5.5E-2</v>
      </c>
      <c r="J11" s="109">
        <f>VLOOKUP(D11,'Existing Building EUI'!$B$7:$E$16,3,FALSE)</f>
        <v>159</v>
      </c>
      <c r="K11" s="109">
        <f>VLOOKUP(D11,'Existing Building EUI'!$B$7:$E$16,4,FALSE)</f>
        <v>231</v>
      </c>
      <c r="L11" s="109">
        <v>0</v>
      </c>
      <c r="M11" s="113">
        <v>0</v>
      </c>
      <c r="N11" s="75">
        <v>0</v>
      </c>
      <c r="O11" s="114">
        <v>0.01</v>
      </c>
      <c r="P11" s="114">
        <v>0.17</v>
      </c>
      <c r="Q11" s="75">
        <v>0</v>
      </c>
      <c r="R11" s="75">
        <v>0</v>
      </c>
      <c r="S11" s="75">
        <v>0</v>
      </c>
      <c r="T11" s="75">
        <v>0</v>
      </c>
      <c r="U11" s="97">
        <f t="shared" si="2"/>
        <v>159</v>
      </c>
      <c r="V11" s="97">
        <f t="shared" si="3"/>
        <v>159</v>
      </c>
      <c r="W11" s="97">
        <f t="shared" si="4"/>
        <v>228.69</v>
      </c>
      <c r="X11" s="97">
        <f t="shared" si="5"/>
        <v>191.73</v>
      </c>
      <c r="Y11" s="97">
        <f t="shared" si="6"/>
        <v>0</v>
      </c>
      <c r="Z11" s="97">
        <f t="shared" si="7"/>
        <v>0</v>
      </c>
      <c r="AA11" s="114">
        <f t="shared" si="8"/>
        <v>5.9230769230769293E-3</v>
      </c>
      <c r="AB11" s="114">
        <f t="shared" si="9"/>
        <v>0.10069230769230765</v>
      </c>
    </row>
    <row r="12" spans="1:109" ht="28.5" hidden="1" customHeight="1" x14ac:dyDescent="0.2">
      <c r="A12" s="155" t="s">
        <v>236</v>
      </c>
      <c r="B12" s="72" t="str">
        <f t="shared" si="0"/>
        <v>Renewables - Solar PVBig Box Store</v>
      </c>
      <c r="C12" s="73" t="s">
        <v>111</v>
      </c>
      <c r="D12" s="74" t="s">
        <v>93</v>
      </c>
      <c r="E12" s="75">
        <v>0.01</v>
      </c>
      <c r="F12" s="75">
        <v>0.1</v>
      </c>
      <c r="G12" s="75">
        <v>0.01</v>
      </c>
      <c r="H12" s="75">
        <v>0.05</v>
      </c>
      <c r="I12" s="75">
        <f t="shared" si="1"/>
        <v>3.0000000000000002E-2</v>
      </c>
      <c r="J12" s="109">
        <f>VLOOKUP(D12,'Existing Building EUI'!$B$7:$E$16,3,FALSE)</f>
        <v>159</v>
      </c>
      <c r="K12" s="109">
        <f>VLOOKUP(D12,'Existing Building EUI'!$B$7:$E$16,4,FALSE)</f>
        <v>231</v>
      </c>
      <c r="L12" s="109">
        <v>0</v>
      </c>
      <c r="M12" s="113">
        <v>0</v>
      </c>
      <c r="N12" s="75">
        <v>0</v>
      </c>
      <c r="O12" s="114">
        <v>0.02</v>
      </c>
      <c r="P12" s="114">
        <v>0.17</v>
      </c>
      <c r="Q12" s="75">
        <v>0</v>
      </c>
      <c r="R12" s="75">
        <v>0</v>
      </c>
      <c r="S12" s="75">
        <v>0</v>
      </c>
      <c r="T12" s="75">
        <v>0</v>
      </c>
      <c r="U12" s="97">
        <f t="shared" si="2"/>
        <v>159</v>
      </c>
      <c r="V12" s="97">
        <f t="shared" si="3"/>
        <v>159</v>
      </c>
      <c r="W12" s="97">
        <f t="shared" si="4"/>
        <v>226.38</v>
      </c>
      <c r="X12" s="97">
        <f t="shared" si="5"/>
        <v>191.73</v>
      </c>
      <c r="Y12" s="97">
        <f t="shared" si="6"/>
        <v>0</v>
      </c>
      <c r="Z12" s="97">
        <f t="shared" si="7"/>
        <v>0</v>
      </c>
      <c r="AA12" s="114">
        <f t="shared" si="8"/>
        <v>1.1846153846153859E-2</v>
      </c>
      <c r="AB12" s="114">
        <f t="shared" si="9"/>
        <v>0.10069230769230765</v>
      </c>
    </row>
    <row r="13" spans="1:109" ht="42.75" hidden="1" customHeight="1" x14ac:dyDescent="0.2">
      <c r="A13" s="155" t="s">
        <v>236</v>
      </c>
      <c r="B13" s="72" t="str">
        <f t="shared" si="0"/>
        <v>Ventilation Systems - Energy Recovery Ventilator (ERV)Big Box Store</v>
      </c>
      <c r="C13" s="73" t="s">
        <v>108</v>
      </c>
      <c r="D13" s="74" t="s">
        <v>93</v>
      </c>
      <c r="E13" s="75">
        <v>0.01</v>
      </c>
      <c r="F13" s="75">
        <v>0.1</v>
      </c>
      <c r="G13" s="75">
        <v>0.01</v>
      </c>
      <c r="H13" s="75">
        <v>0.1</v>
      </c>
      <c r="I13" s="75">
        <f t="shared" si="1"/>
        <v>5.5E-2</v>
      </c>
      <c r="J13" s="109">
        <f>VLOOKUP(D13,'Existing Building EUI'!$B$7:$E$16,3,FALSE)</f>
        <v>159</v>
      </c>
      <c r="K13" s="109">
        <f>VLOOKUP(D13,'Existing Building EUI'!$B$7:$E$16,4,FALSE)</f>
        <v>231</v>
      </c>
      <c r="L13" s="109">
        <v>0</v>
      </c>
      <c r="M13" s="113">
        <v>0.01</v>
      </c>
      <c r="N13" s="75">
        <v>0.05</v>
      </c>
      <c r="O13" s="114">
        <v>0.01</v>
      </c>
      <c r="P13" s="114">
        <v>0.05</v>
      </c>
      <c r="Q13" s="75">
        <v>0</v>
      </c>
      <c r="R13" s="75">
        <v>0</v>
      </c>
      <c r="S13" s="98">
        <v>0</v>
      </c>
      <c r="T13" s="98">
        <v>0</v>
      </c>
      <c r="U13" s="97">
        <f t="shared" si="2"/>
        <v>157.41</v>
      </c>
      <c r="V13" s="97">
        <f t="shared" si="3"/>
        <v>151.05000000000001</v>
      </c>
      <c r="W13" s="97">
        <f t="shared" si="4"/>
        <v>228.69</v>
      </c>
      <c r="X13" s="97">
        <f t="shared" si="5"/>
        <v>219.45</v>
      </c>
      <c r="Y13" s="97">
        <f t="shared" si="6"/>
        <v>0</v>
      </c>
      <c r="Z13" s="97">
        <f t="shared" si="7"/>
        <v>0</v>
      </c>
      <c r="AA13" s="114">
        <f t="shared" si="8"/>
        <v>9.9999999999999412E-3</v>
      </c>
      <c r="AB13" s="114">
        <f t="shared" si="9"/>
        <v>0.05</v>
      </c>
    </row>
    <row r="14" spans="1:109" ht="28.5" hidden="1" x14ac:dyDescent="0.2">
      <c r="A14" s="155" t="s">
        <v>236</v>
      </c>
      <c r="B14" s="72" t="str">
        <f t="shared" si="0"/>
        <v>Appliance Upgrades &amp; Lighting and Lighting ControlsCondominium</v>
      </c>
      <c r="C14" s="73" t="s">
        <v>124</v>
      </c>
      <c r="D14" s="74" t="s">
        <v>60</v>
      </c>
      <c r="E14" s="75">
        <v>0.11</v>
      </c>
      <c r="F14" s="75">
        <v>0.2</v>
      </c>
      <c r="G14" s="75">
        <v>0.01</v>
      </c>
      <c r="H14" s="75">
        <v>0.1</v>
      </c>
      <c r="I14" s="75">
        <f t="shared" si="1"/>
        <v>5.5E-2</v>
      </c>
      <c r="J14" s="109">
        <f>VLOOKUP(D14,'Existing Building EUI'!$B$7:$E$16,3,FALSE)</f>
        <v>215</v>
      </c>
      <c r="K14" s="109">
        <f>VLOOKUP(D14,'Existing Building EUI'!$B$7:$E$16,4,FALSE)</f>
        <v>93</v>
      </c>
      <c r="L14" s="109">
        <v>0</v>
      </c>
      <c r="M14" s="113">
        <v>0</v>
      </c>
      <c r="N14" s="75">
        <v>0</v>
      </c>
      <c r="O14" s="114">
        <v>0.35</v>
      </c>
      <c r="P14" s="114">
        <v>0.5</v>
      </c>
      <c r="Q14" s="75">
        <v>0</v>
      </c>
      <c r="R14" s="75">
        <v>0</v>
      </c>
      <c r="S14" s="75">
        <v>0</v>
      </c>
      <c r="T14" s="75">
        <v>0</v>
      </c>
      <c r="U14" s="97">
        <f t="shared" si="2"/>
        <v>215</v>
      </c>
      <c r="V14" s="97">
        <f t="shared" si="3"/>
        <v>215</v>
      </c>
      <c r="W14" s="97">
        <f t="shared" si="4"/>
        <v>60.45</v>
      </c>
      <c r="X14" s="97">
        <f t="shared" si="5"/>
        <v>46.5</v>
      </c>
      <c r="Y14" s="97">
        <f t="shared" si="6"/>
        <v>0</v>
      </c>
      <c r="Z14" s="97">
        <f t="shared" si="7"/>
        <v>0</v>
      </c>
      <c r="AA14" s="114">
        <f t="shared" si="8"/>
        <v>0.10568181818181822</v>
      </c>
      <c r="AB14" s="114">
        <f t="shared" si="9"/>
        <v>0.15097402597402598</v>
      </c>
    </row>
    <row r="15" spans="1:109" ht="57" hidden="1" x14ac:dyDescent="0.2">
      <c r="A15" s="155" t="s">
        <v>236</v>
      </c>
      <c r="B15" s="72" t="str">
        <f t="shared" si="0"/>
        <v>Building Envelope - High Performance Envelope (Recladding, Air Sealing, New Insulation) Condominium</v>
      </c>
      <c r="C15" s="73" t="s">
        <v>119</v>
      </c>
      <c r="D15" s="74" t="s">
        <v>60</v>
      </c>
      <c r="E15" s="75">
        <v>0.11</v>
      </c>
      <c r="F15" s="75">
        <v>0.2</v>
      </c>
      <c r="G15" s="75">
        <v>0.11</v>
      </c>
      <c r="H15" s="75">
        <v>0.2</v>
      </c>
      <c r="I15" s="75">
        <f t="shared" si="1"/>
        <v>0.155</v>
      </c>
      <c r="J15" s="109">
        <f>VLOOKUP(D15,'Existing Building EUI'!$B$7:$E$16,3,FALSE)</f>
        <v>215</v>
      </c>
      <c r="K15" s="109">
        <f>VLOOKUP(D15,'Existing Building EUI'!$B$7:$E$16,4,FALSE)</f>
        <v>93</v>
      </c>
      <c r="L15" s="109">
        <v>0</v>
      </c>
      <c r="M15" s="113">
        <v>0.12</v>
      </c>
      <c r="N15" s="75">
        <v>0.2</v>
      </c>
      <c r="O15" s="114">
        <v>0.08</v>
      </c>
      <c r="P15" s="114">
        <v>0.15</v>
      </c>
      <c r="Q15" s="75">
        <v>0</v>
      </c>
      <c r="R15" s="75">
        <v>0</v>
      </c>
      <c r="S15" s="75">
        <v>0</v>
      </c>
      <c r="T15" s="75">
        <v>0</v>
      </c>
      <c r="U15" s="97">
        <f t="shared" si="2"/>
        <v>189.2</v>
      </c>
      <c r="V15" s="97">
        <f t="shared" si="3"/>
        <v>172</v>
      </c>
      <c r="W15" s="97">
        <f t="shared" si="4"/>
        <v>85.56</v>
      </c>
      <c r="X15" s="97">
        <f t="shared" si="5"/>
        <v>79.05</v>
      </c>
      <c r="Y15" s="97">
        <f t="shared" si="6"/>
        <v>0</v>
      </c>
      <c r="Z15" s="97">
        <f t="shared" si="7"/>
        <v>0</v>
      </c>
      <c r="AA15" s="114">
        <f t="shared" si="8"/>
        <v>0.10792207792207795</v>
      </c>
      <c r="AB15" s="114">
        <f t="shared" si="9"/>
        <v>0.18490259740259737</v>
      </c>
    </row>
    <row r="16" spans="1:109" ht="42.75" hidden="1" x14ac:dyDescent="0.2">
      <c r="A16" s="155" t="s">
        <v>236</v>
      </c>
      <c r="B16" s="72" t="str">
        <f t="shared" si="0"/>
        <v>Building Envelope - High Performance Glazing with Enhanced Air SealingCondominium</v>
      </c>
      <c r="C16" s="73" t="s">
        <v>102</v>
      </c>
      <c r="D16" s="74" t="s">
        <v>60</v>
      </c>
      <c r="E16" s="75">
        <v>0.01</v>
      </c>
      <c r="F16" s="75">
        <v>0.1</v>
      </c>
      <c r="G16" s="75">
        <v>0.01</v>
      </c>
      <c r="H16" s="75">
        <v>0.1</v>
      </c>
      <c r="I16" s="75">
        <f t="shared" si="1"/>
        <v>5.5E-2</v>
      </c>
      <c r="J16" s="109">
        <f>VLOOKUP(D16,'Existing Building EUI'!$B$7:$E$16,3,FALSE)</f>
        <v>215</v>
      </c>
      <c r="K16" s="109">
        <f>VLOOKUP(D16,'Existing Building EUI'!$B$7:$E$16,4,FALSE)</f>
        <v>93</v>
      </c>
      <c r="L16" s="109">
        <v>0</v>
      </c>
      <c r="M16" s="113">
        <v>0.01</v>
      </c>
      <c r="N16" s="75">
        <v>0.11</v>
      </c>
      <c r="O16" s="113">
        <v>0.01</v>
      </c>
      <c r="P16" s="114">
        <v>0.08</v>
      </c>
      <c r="Q16" s="75">
        <v>0</v>
      </c>
      <c r="R16" s="75">
        <v>0</v>
      </c>
      <c r="S16" s="75">
        <v>0</v>
      </c>
      <c r="T16" s="75">
        <v>0</v>
      </c>
      <c r="U16" s="97">
        <f t="shared" si="2"/>
        <v>212.85</v>
      </c>
      <c r="V16" s="97">
        <f t="shared" si="3"/>
        <v>191.35</v>
      </c>
      <c r="W16" s="97">
        <f t="shared" si="4"/>
        <v>92.07</v>
      </c>
      <c r="X16" s="97">
        <f t="shared" si="5"/>
        <v>85.56</v>
      </c>
      <c r="Y16" s="97">
        <f t="shared" si="6"/>
        <v>0</v>
      </c>
      <c r="Z16" s="97">
        <f t="shared" si="7"/>
        <v>0</v>
      </c>
      <c r="AA16" s="114">
        <f t="shared" si="8"/>
        <v>1.0000000000000132E-2</v>
      </c>
      <c r="AB16" s="114">
        <f t="shared" si="9"/>
        <v>0.10094155844155854</v>
      </c>
    </row>
    <row r="17" spans="1:28" ht="42.75" x14ac:dyDescent="0.2">
      <c r="A17" s="155" t="s">
        <v>236</v>
      </c>
      <c r="B17" s="72" t="str">
        <f t="shared" si="0"/>
        <v>Domestic Hot Water - Heat Pump and Electric Resistance Water HeatersCondominium</v>
      </c>
      <c r="C17" s="73" t="s">
        <v>105</v>
      </c>
      <c r="D17" s="74" t="s">
        <v>60</v>
      </c>
      <c r="E17" s="76">
        <v>0.01</v>
      </c>
      <c r="F17" s="76">
        <v>0.1</v>
      </c>
      <c r="G17" s="76">
        <v>0.01</v>
      </c>
      <c r="H17" s="76">
        <v>0.1</v>
      </c>
      <c r="I17" s="75">
        <f t="shared" si="1"/>
        <v>5.5E-2</v>
      </c>
      <c r="J17" s="109">
        <f>VLOOKUP(D17,'Existing Building EUI'!$B$7:$E$16,3,FALSE)</f>
        <v>215</v>
      </c>
      <c r="K17" s="109">
        <f>VLOOKUP(D17,'Existing Building EUI'!$B$7:$E$16,4,FALSE)</f>
        <v>93</v>
      </c>
      <c r="L17" s="109">
        <v>0</v>
      </c>
      <c r="M17" s="113">
        <v>0.01</v>
      </c>
      <c r="N17" s="75">
        <v>0.2</v>
      </c>
      <c r="O17" s="114">
        <v>0</v>
      </c>
      <c r="P17" s="114">
        <v>0</v>
      </c>
      <c r="Q17" s="75">
        <v>0</v>
      </c>
      <c r="R17" s="75">
        <v>0</v>
      </c>
      <c r="S17" s="98">
        <f>M17/-4</f>
        <v>-2.5000000000000001E-3</v>
      </c>
      <c r="T17" s="98">
        <f>N17/-4</f>
        <v>-0.05</v>
      </c>
      <c r="U17" s="97">
        <f t="shared" si="2"/>
        <v>212.85</v>
      </c>
      <c r="V17" s="97">
        <f t="shared" si="3"/>
        <v>172</v>
      </c>
      <c r="W17" s="97">
        <f t="shared" si="4"/>
        <v>93.537499999999994</v>
      </c>
      <c r="X17" s="97">
        <f t="shared" si="5"/>
        <v>103.75</v>
      </c>
      <c r="Y17" s="97">
        <f t="shared" si="6"/>
        <v>0</v>
      </c>
      <c r="Z17" s="97">
        <f t="shared" si="7"/>
        <v>0</v>
      </c>
      <c r="AA17" s="114">
        <f t="shared" si="8"/>
        <v>5.2353896103896477E-3</v>
      </c>
      <c r="AB17" s="114">
        <f t="shared" si="9"/>
        <v>0.10470779220779221</v>
      </c>
    </row>
    <row r="18" spans="1:28" ht="42.75" hidden="1" x14ac:dyDescent="0.2">
      <c r="A18" s="155" t="s">
        <v>236</v>
      </c>
      <c r="B18" s="72" t="str">
        <f t="shared" si="0"/>
        <v>Gas Appliances - Electric and Induction Ranges &amp; Heat Pump Electric DryersCondominium</v>
      </c>
      <c r="C18" s="73" t="s">
        <v>122</v>
      </c>
      <c r="D18" s="74" t="s">
        <v>60</v>
      </c>
      <c r="E18" s="75">
        <v>0.01</v>
      </c>
      <c r="F18" s="75">
        <v>0.1</v>
      </c>
      <c r="G18" s="75">
        <v>0.05</v>
      </c>
      <c r="H18" s="75">
        <v>0.2</v>
      </c>
      <c r="I18" s="75">
        <f t="shared" si="1"/>
        <v>0.125</v>
      </c>
      <c r="J18" s="109">
        <f>VLOOKUP(D18,'Existing Building EUI'!$B$7:$E$16,3,FALSE)</f>
        <v>215</v>
      </c>
      <c r="K18" s="109">
        <f>VLOOKUP(D18,'Existing Building EUI'!$B$7:$E$16,4,FALSE)</f>
        <v>93</v>
      </c>
      <c r="L18" s="109">
        <v>0</v>
      </c>
      <c r="M18" s="113">
        <v>0.02</v>
      </c>
      <c r="N18" s="75">
        <v>0.15</v>
      </c>
      <c r="O18" s="114">
        <v>0</v>
      </c>
      <c r="P18" s="114">
        <v>0</v>
      </c>
      <c r="Q18" s="75">
        <v>0</v>
      </c>
      <c r="R18" s="75">
        <v>0</v>
      </c>
      <c r="S18" s="98">
        <f>M18/-2</f>
        <v>-0.01</v>
      </c>
      <c r="T18" s="98">
        <f>N18/-2</f>
        <v>-7.4999999999999997E-2</v>
      </c>
      <c r="U18" s="97">
        <f t="shared" si="2"/>
        <v>210.7</v>
      </c>
      <c r="V18" s="97">
        <f t="shared" si="3"/>
        <v>182.75</v>
      </c>
      <c r="W18" s="97">
        <f t="shared" si="4"/>
        <v>95.15</v>
      </c>
      <c r="X18" s="97">
        <f t="shared" si="5"/>
        <v>109.125</v>
      </c>
      <c r="Y18" s="97">
        <f t="shared" si="6"/>
        <v>0</v>
      </c>
      <c r="Z18" s="97">
        <f t="shared" si="7"/>
        <v>0</v>
      </c>
      <c r="AA18" s="114">
        <f t="shared" si="8"/>
        <v>6.9805194805194065E-3</v>
      </c>
      <c r="AB18" s="114">
        <f t="shared" si="9"/>
        <v>5.2353896103896104E-2</v>
      </c>
    </row>
    <row r="19" spans="1:28" ht="28.5" hidden="1" x14ac:dyDescent="0.2">
      <c r="A19" s="155" t="s">
        <v>236</v>
      </c>
      <c r="B19" s="72" t="str">
        <f t="shared" si="0"/>
        <v>Heating &amp; Cooling Systems - Air Source Heat PumpsCondominium</v>
      </c>
      <c r="C19" s="110" t="s">
        <v>106</v>
      </c>
      <c r="D19" s="74" t="s">
        <v>60</v>
      </c>
      <c r="E19" s="75">
        <v>0.11</v>
      </c>
      <c r="F19" s="75">
        <v>0.2</v>
      </c>
      <c r="G19" s="75">
        <v>0.21</v>
      </c>
      <c r="H19" s="75">
        <v>0.3</v>
      </c>
      <c r="I19" s="75">
        <f t="shared" si="1"/>
        <v>0.255</v>
      </c>
      <c r="J19" s="109">
        <f>VLOOKUP(D19,'Existing Building EUI'!$B$7:$E$16,3,FALSE)</f>
        <v>215</v>
      </c>
      <c r="K19" s="109">
        <f>VLOOKUP(D19,'Existing Building EUI'!$B$7:$E$16,4,FALSE)</f>
        <v>93</v>
      </c>
      <c r="L19" s="109">
        <v>0</v>
      </c>
      <c r="M19" s="113">
        <v>0.5</v>
      </c>
      <c r="N19" s="75">
        <v>0.6</v>
      </c>
      <c r="O19" s="114">
        <v>0.03</v>
      </c>
      <c r="P19" s="114">
        <v>0.05</v>
      </c>
      <c r="Q19" s="75">
        <v>0</v>
      </c>
      <c r="R19" s="75">
        <v>0</v>
      </c>
      <c r="S19" s="98">
        <f>M19/-2</f>
        <v>-0.25</v>
      </c>
      <c r="T19" s="98">
        <f>N19/-2</f>
        <v>-0.3</v>
      </c>
      <c r="U19" s="97">
        <f t="shared" si="2"/>
        <v>107.5</v>
      </c>
      <c r="V19" s="97">
        <f t="shared" si="3"/>
        <v>86</v>
      </c>
      <c r="W19" s="97">
        <f t="shared" si="4"/>
        <v>143.96</v>
      </c>
      <c r="X19" s="97">
        <f t="shared" si="5"/>
        <v>152.85</v>
      </c>
      <c r="Y19" s="97">
        <f t="shared" si="6"/>
        <v>0</v>
      </c>
      <c r="Z19" s="97">
        <f t="shared" si="7"/>
        <v>0</v>
      </c>
      <c r="AA19" s="114">
        <f t="shared" si="8"/>
        <v>0.18357142857142855</v>
      </c>
      <c r="AB19" s="114">
        <f t="shared" si="9"/>
        <v>0.22451298701298703</v>
      </c>
    </row>
    <row r="20" spans="1:28" ht="42.75" hidden="1" x14ac:dyDescent="0.2">
      <c r="A20" s="155" t="s">
        <v>236</v>
      </c>
      <c r="B20" s="72" t="str">
        <f t="shared" si="0"/>
        <v>Heating &amp; Cooling Systems - Low Carbon District Heating SystemCondominium</v>
      </c>
      <c r="C20" s="110" t="s">
        <v>260</v>
      </c>
      <c r="D20" s="74" t="s">
        <v>60</v>
      </c>
      <c r="E20" s="75">
        <v>0.11</v>
      </c>
      <c r="F20" s="75">
        <v>0.2</v>
      </c>
      <c r="G20" s="75">
        <v>0.21</v>
      </c>
      <c r="H20" s="75">
        <v>0.3</v>
      </c>
      <c r="I20" s="75">
        <f t="shared" si="1"/>
        <v>0.255</v>
      </c>
      <c r="J20" s="109">
        <f>VLOOKUP(D20,'Existing Building EUI'!$B$7:$E$16,3,FALSE)</f>
        <v>215</v>
      </c>
      <c r="K20" s="109">
        <f>VLOOKUP(D20,'Existing Building EUI'!$B$7:$E$16,4,FALSE)</f>
        <v>93</v>
      </c>
      <c r="L20" s="109">
        <v>0</v>
      </c>
      <c r="M20" s="113">
        <v>0.5</v>
      </c>
      <c r="N20" s="75">
        <v>0.6</v>
      </c>
      <c r="O20" s="114">
        <v>0.03</v>
      </c>
      <c r="P20" s="114">
        <v>0.05</v>
      </c>
      <c r="Q20" s="75">
        <f>M20*-0.7</f>
        <v>-0.35</v>
      </c>
      <c r="R20" s="75">
        <f>N20*-0.7</f>
        <v>-0.42</v>
      </c>
      <c r="S20" s="75">
        <v>0</v>
      </c>
      <c r="T20" s="75">
        <v>0</v>
      </c>
      <c r="U20" s="97">
        <f t="shared" si="2"/>
        <v>107.5</v>
      </c>
      <c r="V20" s="97">
        <f t="shared" si="3"/>
        <v>86</v>
      </c>
      <c r="W20" s="97">
        <f t="shared" si="4"/>
        <v>90.21</v>
      </c>
      <c r="X20" s="97">
        <f t="shared" si="5"/>
        <v>88.35</v>
      </c>
      <c r="Y20" s="97">
        <f t="shared" si="6"/>
        <v>75.25</v>
      </c>
      <c r="Z20" s="97">
        <f>(R20*J20)*-1</f>
        <v>90.3</v>
      </c>
      <c r="AA20" s="114">
        <f t="shared" si="8"/>
        <v>0.11376623376623383</v>
      </c>
      <c r="AB20" s="114">
        <f t="shared" si="9"/>
        <v>0.14074675324675331</v>
      </c>
    </row>
    <row r="21" spans="1:28" ht="28.5" hidden="1" x14ac:dyDescent="0.2">
      <c r="A21" s="155" t="s">
        <v>236</v>
      </c>
      <c r="B21" s="72" t="str">
        <f t="shared" si="0"/>
        <v>Heating &amp; Cooling Systems - Ground Source Heat PumpsCondominium</v>
      </c>
      <c r="C21" s="73" t="s">
        <v>107</v>
      </c>
      <c r="D21" s="74" t="s">
        <v>60</v>
      </c>
      <c r="E21" s="75">
        <v>0.11</v>
      </c>
      <c r="F21" s="75">
        <v>0.2</v>
      </c>
      <c r="G21" s="75">
        <v>0.21</v>
      </c>
      <c r="H21" s="75">
        <v>0.3</v>
      </c>
      <c r="I21" s="75">
        <f t="shared" si="1"/>
        <v>0.255</v>
      </c>
      <c r="J21" s="109">
        <f>VLOOKUP(D21,'Existing Building EUI'!$B$7:$E$16,3,FALSE)</f>
        <v>215</v>
      </c>
      <c r="K21" s="109">
        <f>VLOOKUP(D21,'Existing Building EUI'!$B$7:$E$16,4,FALSE)</f>
        <v>93</v>
      </c>
      <c r="L21" s="109">
        <v>0</v>
      </c>
      <c r="M21" s="113">
        <v>0.5</v>
      </c>
      <c r="N21" s="75">
        <v>0.6</v>
      </c>
      <c r="O21" s="114">
        <v>0.03</v>
      </c>
      <c r="P21" s="114">
        <v>0.05</v>
      </c>
      <c r="Q21" s="75">
        <v>0</v>
      </c>
      <c r="R21" s="75">
        <v>0</v>
      </c>
      <c r="S21" s="98">
        <f>M21/-3</f>
        <v>-0.16666666666666666</v>
      </c>
      <c r="T21" s="98">
        <f>N21/-3</f>
        <v>-0.19999999999999998</v>
      </c>
      <c r="U21" s="97">
        <f t="shared" si="2"/>
        <v>107.5</v>
      </c>
      <c r="V21" s="97">
        <f t="shared" si="3"/>
        <v>86</v>
      </c>
      <c r="W21" s="97">
        <f t="shared" si="4"/>
        <v>126.04333333333332</v>
      </c>
      <c r="X21" s="97">
        <f t="shared" si="5"/>
        <v>131.35</v>
      </c>
      <c r="Y21" s="97">
        <f t="shared" si="6"/>
        <v>0</v>
      </c>
      <c r="Z21" s="97">
        <f t="shared" ref="Z21:Z30" si="10">R21*J21</f>
        <v>0</v>
      </c>
      <c r="AA21" s="114">
        <f t="shared" si="8"/>
        <v>0.24174242424242429</v>
      </c>
      <c r="AB21" s="114">
        <f t="shared" si="9"/>
        <v>0.29431818181818181</v>
      </c>
    </row>
    <row r="22" spans="1:28" ht="15" hidden="1" x14ac:dyDescent="0.2">
      <c r="A22" s="155" t="s">
        <v>236</v>
      </c>
      <c r="B22" s="72" t="str">
        <f t="shared" si="0"/>
        <v>Renewables - Solar PVCondominium</v>
      </c>
      <c r="C22" s="73" t="s">
        <v>111</v>
      </c>
      <c r="D22" s="74" t="s">
        <v>60</v>
      </c>
      <c r="E22" s="75">
        <v>0.01</v>
      </c>
      <c r="F22" s="75">
        <v>0.1</v>
      </c>
      <c r="G22" s="75">
        <v>0.01</v>
      </c>
      <c r="H22" s="75">
        <v>0.05</v>
      </c>
      <c r="I22" s="75">
        <f t="shared" si="1"/>
        <v>3.0000000000000002E-2</v>
      </c>
      <c r="J22" s="109">
        <f>VLOOKUP(D22,'Existing Building EUI'!$B$7:$E$16,3,FALSE)</f>
        <v>215</v>
      </c>
      <c r="K22" s="109">
        <f>VLOOKUP(D22,'Existing Building EUI'!$B$7:$E$16,4,FALSE)</f>
        <v>93</v>
      </c>
      <c r="L22" s="109">
        <v>0</v>
      </c>
      <c r="M22" s="113">
        <v>0</v>
      </c>
      <c r="N22" s="75">
        <v>0</v>
      </c>
      <c r="O22" s="114">
        <v>0.02</v>
      </c>
      <c r="P22" s="114">
        <v>0.22</v>
      </c>
      <c r="Q22" s="75">
        <v>0</v>
      </c>
      <c r="R22" s="75">
        <v>0</v>
      </c>
      <c r="S22" s="75">
        <v>0</v>
      </c>
      <c r="T22" s="75">
        <v>0</v>
      </c>
      <c r="U22" s="97">
        <f t="shared" si="2"/>
        <v>215</v>
      </c>
      <c r="V22" s="97">
        <f t="shared" si="3"/>
        <v>215</v>
      </c>
      <c r="W22" s="97">
        <f t="shared" si="4"/>
        <v>91.14</v>
      </c>
      <c r="X22" s="97">
        <f t="shared" si="5"/>
        <v>72.539999999999992</v>
      </c>
      <c r="Y22" s="97">
        <f t="shared" si="6"/>
        <v>0</v>
      </c>
      <c r="Z22" s="97">
        <f t="shared" si="10"/>
        <v>0</v>
      </c>
      <c r="AA22" s="114">
        <f t="shared" si="8"/>
        <v>6.0389610389610833E-3</v>
      </c>
      <c r="AB22" s="114">
        <f t="shared" si="9"/>
        <v>6.6428571428571545E-2</v>
      </c>
    </row>
    <row r="23" spans="1:28" ht="28.5" hidden="1" x14ac:dyDescent="0.2">
      <c r="A23" s="155" t="s">
        <v>236</v>
      </c>
      <c r="B23" s="72" t="str">
        <f t="shared" si="0"/>
        <v>Renewables - Solar ThermalCondominium</v>
      </c>
      <c r="C23" s="73" t="s">
        <v>112</v>
      </c>
      <c r="D23" s="74" t="s">
        <v>60</v>
      </c>
      <c r="E23" s="75">
        <v>0.01</v>
      </c>
      <c r="F23" s="75">
        <v>0.1</v>
      </c>
      <c r="G23" s="75">
        <v>0.01</v>
      </c>
      <c r="H23" s="75">
        <v>0.05</v>
      </c>
      <c r="I23" s="75">
        <f t="shared" si="1"/>
        <v>3.0000000000000002E-2</v>
      </c>
      <c r="J23" s="109">
        <f>VLOOKUP(D23,'Existing Building EUI'!$B$7:$E$16,3,FALSE)</f>
        <v>215</v>
      </c>
      <c r="K23" s="109">
        <f>VLOOKUP(D23,'Existing Building EUI'!$B$7:$E$16,4,FALSE)</f>
        <v>93</v>
      </c>
      <c r="L23" s="109">
        <v>0</v>
      </c>
      <c r="M23" s="113">
        <v>0.02</v>
      </c>
      <c r="N23" s="75">
        <v>0.1</v>
      </c>
      <c r="O23" s="114">
        <v>0</v>
      </c>
      <c r="P23" s="114">
        <v>0</v>
      </c>
      <c r="Q23" s="75">
        <v>0</v>
      </c>
      <c r="R23" s="75">
        <v>0</v>
      </c>
      <c r="S23" s="75">
        <v>0</v>
      </c>
      <c r="T23" s="75">
        <v>0</v>
      </c>
      <c r="U23" s="97">
        <f t="shared" si="2"/>
        <v>210.7</v>
      </c>
      <c r="V23" s="97">
        <f t="shared" si="3"/>
        <v>193.5</v>
      </c>
      <c r="W23" s="97">
        <f t="shared" si="4"/>
        <v>93</v>
      </c>
      <c r="X23" s="97">
        <f t="shared" si="5"/>
        <v>93</v>
      </c>
      <c r="Y23" s="97">
        <f t="shared" si="6"/>
        <v>0</v>
      </c>
      <c r="Z23" s="97">
        <f t="shared" si="10"/>
        <v>0</v>
      </c>
      <c r="AA23" s="114">
        <f t="shared" si="8"/>
        <v>1.3961038961038999E-2</v>
      </c>
      <c r="AB23" s="114">
        <f t="shared" si="9"/>
        <v>6.9805194805194801E-2</v>
      </c>
    </row>
    <row r="24" spans="1:28" ht="42.75" hidden="1" x14ac:dyDescent="0.2">
      <c r="A24" s="155" t="s">
        <v>236</v>
      </c>
      <c r="B24" s="72" t="str">
        <f t="shared" si="0"/>
        <v>Ventilation System - Energy Recovery Ventilation (ERV) and Electric HeatCondominium</v>
      </c>
      <c r="C24" s="73" t="s">
        <v>123</v>
      </c>
      <c r="D24" s="74" t="s">
        <v>60</v>
      </c>
      <c r="E24" s="75">
        <v>0.21</v>
      </c>
      <c r="F24" s="75">
        <v>0.3</v>
      </c>
      <c r="G24" s="75">
        <v>0.31</v>
      </c>
      <c r="H24" s="75">
        <v>0.4</v>
      </c>
      <c r="I24" s="75">
        <f t="shared" si="1"/>
        <v>0.35499999999999998</v>
      </c>
      <c r="J24" s="109">
        <f>VLOOKUP(D24,'Existing Building EUI'!$B$7:$E$16,3,FALSE)</f>
        <v>215</v>
      </c>
      <c r="K24" s="109">
        <f>VLOOKUP(D24,'Existing Building EUI'!$B$7:$E$16,4,FALSE)</f>
        <v>93</v>
      </c>
      <c r="L24" s="109">
        <v>0</v>
      </c>
      <c r="M24" s="113">
        <v>0.3</v>
      </c>
      <c r="N24" s="75">
        <v>0.35</v>
      </c>
      <c r="O24" s="114">
        <v>0.05</v>
      </c>
      <c r="P24" s="114">
        <v>0.15</v>
      </c>
      <c r="Q24" s="75">
        <v>0</v>
      </c>
      <c r="R24" s="75">
        <v>0</v>
      </c>
      <c r="S24" s="98">
        <v>0</v>
      </c>
      <c r="T24" s="98">
        <v>0</v>
      </c>
      <c r="U24" s="97">
        <f t="shared" si="2"/>
        <v>150.5</v>
      </c>
      <c r="V24" s="97">
        <f t="shared" si="3"/>
        <v>139.75</v>
      </c>
      <c r="W24" s="97">
        <f t="shared" si="4"/>
        <v>88.35</v>
      </c>
      <c r="X24" s="97">
        <f t="shared" si="5"/>
        <v>79.05</v>
      </c>
      <c r="Y24" s="97">
        <f t="shared" si="6"/>
        <v>0</v>
      </c>
      <c r="Z24" s="97">
        <f t="shared" si="10"/>
        <v>0</v>
      </c>
      <c r="AA24" s="114">
        <f t="shared" si="8"/>
        <v>0.22451298701298703</v>
      </c>
      <c r="AB24" s="114">
        <f t="shared" si="9"/>
        <v>0.2896103896103896</v>
      </c>
    </row>
    <row r="25" spans="1:28" ht="28.5" hidden="1" x14ac:dyDescent="0.2">
      <c r="A25" s="155" t="s">
        <v>236</v>
      </c>
      <c r="B25" s="72" t="str">
        <f t="shared" si="0"/>
        <v>Appliance UpgradesEducational Facility</v>
      </c>
      <c r="C25" s="73" t="s">
        <v>109</v>
      </c>
      <c r="D25" s="74" t="s">
        <v>92</v>
      </c>
      <c r="E25" s="75">
        <v>0.01</v>
      </c>
      <c r="F25" s="75">
        <v>0.02</v>
      </c>
      <c r="G25" s="75">
        <v>0</v>
      </c>
      <c r="H25" s="75">
        <v>0.01</v>
      </c>
      <c r="I25" s="75">
        <f t="shared" si="1"/>
        <v>5.0000000000000001E-3</v>
      </c>
      <c r="J25" s="109">
        <f>VLOOKUP(D25,'Existing Building EUI'!$B$7:$E$16,3,FALSE)</f>
        <v>201</v>
      </c>
      <c r="K25" s="109">
        <f>VLOOKUP(D25,'Existing Building EUI'!$B$7:$E$16,4,FALSE)</f>
        <v>284</v>
      </c>
      <c r="L25" s="109">
        <v>0</v>
      </c>
      <c r="M25" s="113">
        <v>0</v>
      </c>
      <c r="N25" s="75">
        <v>0</v>
      </c>
      <c r="O25" s="114">
        <v>0.02</v>
      </c>
      <c r="P25" s="114">
        <v>0.04</v>
      </c>
      <c r="Q25" s="75">
        <v>0</v>
      </c>
      <c r="R25" s="75">
        <v>0</v>
      </c>
      <c r="S25" s="75">
        <v>0</v>
      </c>
      <c r="T25" s="75">
        <v>0</v>
      </c>
      <c r="U25" s="97">
        <f t="shared" si="2"/>
        <v>201</v>
      </c>
      <c r="V25" s="97">
        <f t="shared" si="3"/>
        <v>201</v>
      </c>
      <c r="W25" s="97">
        <f t="shared" si="4"/>
        <v>278.32</v>
      </c>
      <c r="X25" s="97">
        <f t="shared" si="5"/>
        <v>272.64</v>
      </c>
      <c r="Y25" s="97">
        <f t="shared" si="6"/>
        <v>0</v>
      </c>
      <c r="Z25" s="97">
        <f t="shared" si="10"/>
        <v>0</v>
      </c>
      <c r="AA25" s="114">
        <f t="shared" si="8"/>
        <v>1.1711340206185581E-2</v>
      </c>
      <c r="AB25" s="114">
        <f t="shared" si="9"/>
        <v>2.3422680412371163E-2</v>
      </c>
    </row>
    <row r="26" spans="1:28" ht="42.75" hidden="1" x14ac:dyDescent="0.2">
      <c r="A26" s="155" t="s">
        <v>236</v>
      </c>
      <c r="B26" s="72" t="str">
        <f t="shared" si="0"/>
        <v>Building Envelope - High Performance Glazing with Enhanced Air SealingEducational Facility</v>
      </c>
      <c r="C26" s="73" t="s">
        <v>102</v>
      </c>
      <c r="D26" s="74" t="s">
        <v>92</v>
      </c>
      <c r="E26" s="75">
        <v>0.01</v>
      </c>
      <c r="F26" s="75">
        <v>0.1</v>
      </c>
      <c r="G26" s="75">
        <v>0.01</v>
      </c>
      <c r="H26" s="75">
        <v>0.1</v>
      </c>
      <c r="I26" s="75">
        <f t="shared" si="1"/>
        <v>5.5E-2</v>
      </c>
      <c r="J26" s="109">
        <f>VLOOKUP(D26,'Existing Building EUI'!$B$7:$E$16,3,FALSE)</f>
        <v>201</v>
      </c>
      <c r="K26" s="109">
        <f>VLOOKUP(D26,'Existing Building EUI'!$B$7:$E$16,4,FALSE)</f>
        <v>284</v>
      </c>
      <c r="L26" s="109">
        <v>0</v>
      </c>
      <c r="M26" s="113">
        <v>0.01</v>
      </c>
      <c r="N26" s="75">
        <v>0.12</v>
      </c>
      <c r="O26" s="113">
        <v>0.01</v>
      </c>
      <c r="P26" s="114">
        <v>0.08</v>
      </c>
      <c r="Q26" s="75">
        <v>0</v>
      </c>
      <c r="R26" s="75">
        <v>0</v>
      </c>
      <c r="S26" s="75">
        <v>0</v>
      </c>
      <c r="T26" s="75">
        <v>0</v>
      </c>
      <c r="U26" s="97">
        <f t="shared" si="2"/>
        <v>198.99</v>
      </c>
      <c r="V26" s="97">
        <f t="shared" si="3"/>
        <v>176.88</v>
      </c>
      <c r="W26" s="97">
        <f t="shared" si="4"/>
        <v>281.16000000000003</v>
      </c>
      <c r="X26" s="97">
        <f t="shared" si="5"/>
        <v>261.27999999999997</v>
      </c>
      <c r="Y26" s="97">
        <f t="shared" si="6"/>
        <v>0</v>
      </c>
      <c r="Z26" s="97">
        <f t="shared" si="10"/>
        <v>0</v>
      </c>
      <c r="AA26" s="114">
        <f t="shared" si="8"/>
        <v>9.9999999999999291E-3</v>
      </c>
      <c r="AB26" s="114">
        <f t="shared" si="9"/>
        <v>9.6577319587628926E-2</v>
      </c>
    </row>
    <row r="27" spans="1:28" ht="42.75" hidden="1" x14ac:dyDescent="0.2">
      <c r="A27" s="155" t="s">
        <v>236</v>
      </c>
      <c r="B27" s="72" t="str">
        <f t="shared" si="0"/>
        <v>Building Envelope - High Performance Glazing, Wall Insulation, &amp; Roof InsulationEducational Facility</v>
      </c>
      <c r="C27" s="73" t="s">
        <v>104</v>
      </c>
      <c r="D27" s="74" t="s">
        <v>92</v>
      </c>
      <c r="E27" s="75">
        <v>0.11</v>
      </c>
      <c r="F27" s="75">
        <v>0.2</v>
      </c>
      <c r="G27" s="75">
        <v>0.11</v>
      </c>
      <c r="H27" s="75">
        <v>0.2</v>
      </c>
      <c r="I27" s="75">
        <f t="shared" si="1"/>
        <v>0.155</v>
      </c>
      <c r="J27" s="109">
        <f>VLOOKUP(D27,'Existing Building EUI'!$B$7:$E$16,3,FALSE)</f>
        <v>201</v>
      </c>
      <c r="K27" s="109">
        <f>VLOOKUP(D27,'Existing Building EUI'!$B$7:$E$16,4,FALSE)</f>
        <v>284</v>
      </c>
      <c r="L27" s="109">
        <v>0</v>
      </c>
      <c r="M27" s="113">
        <v>0.15</v>
      </c>
      <c r="N27" s="75">
        <v>0.2</v>
      </c>
      <c r="O27" s="114">
        <v>0.08</v>
      </c>
      <c r="P27" s="114">
        <v>0.15</v>
      </c>
      <c r="Q27" s="75">
        <v>0</v>
      </c>
      <c r="R27" s="75">
        <v>0</v>
      </c>
      <c r="S27" s="75">
        <v>0</v>
      </c>
      <c r="T27" s="75">
        <v>0</v>
      </c>
      <c r="U27" s="97">
        <f t="shared" si="2"/>
        <v>170.85</v>
      </c>
      <c r="V27" s="97">
        <f t="shared" si="3"/>
        <v>160.80000000000001</v>
      </c>
      <c r="W27" s="97">
        <f t="shared" si="4"/>
        <v>261.27999999999997</v>
      </c>
      <c r="X27" s="97">
        <f t="shared" si="5"/>
        <v>241.4</v>
      </c>
      <c r="Y27" s="97">
        <f t="shared" si="6"/>
        <v>0</v>
      </c>
      <c r="Z27" s="97">
        <f t="shared" si="10"/>
        <v>0</v>
      </c>
      <c r="AA27" s="114">
        <f t="shared" si="8"/>
        <v>0.10901030927835052</v>
      </c>
      <c r="AB27" s="114">
        <f t="shared" si="9"/>
        <v>0.170721649484536</v>
      </c>
    </row>
    <row r="28" spans="1:28" ht="42.75" x14ac:dyDescent="0.2">
      <c r="A28" s="155" t="s">
        <v>236</v>
      </c>
      <c r="B28" s="72" t="str">
        <f t="shared" si="0"/>
        <v>Domestic Hot Water - Heat Pump and Electric Resistance Water HeatersEducational Facility</v>
      </c>
      <c r="C28" s="73" t="s">
        <v>105</v>
      </c>
      <c r="D28" s="74" t="s">
        <v>92</v>
      </c>
      <c r="E28" s="75">
        <v>0.01</v>
      </c>
      <c r="F28" s="75">
        <v>0.05</v>
      </c>
      <c r="G28" s="75">
        <v>0.01</v>
      </c>
      <c r="H28" s="75">
        <v>0.15</v>
      </c>
      <c r="I28" s="75">
        <f t="shared" si="1"/>
        <v>0.08</v>
      </c>
      <c r="J28" s="109">
        <f>VLOOKUP(D28,'Existing Building EUI'!$B$7:$E$16,3,FALSE)</f>
        <v>201</v>
      </c>
      <c r="K28" s="109">
        <f>VLOOKUP(D28,'Existing Building EUI'!$B$7:$E$16,4,FALSE)</f>
        <v>284</v>
      </c>
      <c r="L28" s="109">
        <v>0</v>
      </c>
      <c r="M28" s="113">
        <v>0.02</v>
      </c>
      <c r="N28" s="75">
        <v>0.15</v>
      </c>
      <c r="O28" s="114">
        <v>0</v>
      </c>
      <c r="P28" s="114">
        <v>0</v>
      </c>
      <c r="Q28" s="75">
        <v>0</v>
      </c>
      <c r="R28" s="75">
        <v>0</v>
      </c>
      <c r="S28" s="98">
        <f>M28/-4</f>
        <v>-5.0000000000000001E-3</v>
      </c>
      <c r="T28" s="98">
        <f>N28/-4</f>
        <v>-3.7499999999999999E-2</v>
      </c>
      <c r="U28" s="97">
        <f t="shared" si="2"/>
        <v>196.98</v>
      </c>
      <c r="V28" s="97">
        <f t="shared" si="3"/>
        <v>170.85</v>
      </c>
      <c r="W28" s="97">
        <f t="shared" si="4"/>
        <v>285.005</v>
      </c>
      <c r="X28" s="97">
        <f t="shared" si="5"/>
        <v>291.53750000000002</v>
      </c>
      <c r="Y28" s="97">
        <f t="shared" si="6"/>
        <v>0</v>
      </c>
      <c r="Z28" s="97">
        <f t="shared" si="10"/>
        <v>0</v>
      </c>
      <c r="AA28" s="114">
        <f t="shared" si="8"/>
        <v>6.2164948453607965E-3</v>
      </c>
      <c r="AB28" s="114">
        <f t="shared" si="9"/>
        <v>4.6623711340206091E-2</v>
      </c>
    </row>
    <row r="29" spans="1:28" ht="28.5" hidden="1" x14ac:dyDescent="0.2">
      <c r="A29" s="155" t="s">
        <v>236</v>
      </c>
      <c r="B29" s="72" t="str">
        <f t="shared" si="0"/>
        <v>Gas Appliances - Electric and Induction RangesEducational Facility</v>
      </c>
      <c r="C29" s="73" t="s">
        <v>114</v>
      </c>
      <c r="D29" s="74" t="s">
        <v>92</v>
      </c>
      <c r="E29" s="75">
        <v>0.01</v>
      </c>
      <c r="F29" s="75">
        <v>0.1</v>
      </c>
      <c r="G29" s="75">
        <v>0.1</v>
      </c>
      <c r="H29" s="75">
        <v>0.15</v>
      </c>
      <c r="I29" s="75">
        <f t="shared" si="1"/>
        <v>0.125</v>
      </c>
      <c r="J29" s="109">
        <f>VLOOKUP(D29,'Existing Building EUI'!$B$7:$E$16,3,FALSE)</f>
        <v>201</v>
      </c>
      <c r="K29" s="109">
        <f>VLOOKUP(D29,'Existing Building EUI'!$B$7:$E$16,4,FALSE)</f>
        <v>284</v>
      </c>
      <c r="L29" s="109">
        <v>0</v>
      </c>
      <c r="M29" s="113">
        <v>0.05</v>
      </c>
      <c r="N29" s="75">
        <v>0.15</v>
      </c>
      <c r="O29" s="114">
        <v>0</v>
      </c>
      <c r="P29" s="114">
        <v>0</v>
      </c>
      <c r="Q29" s="75">
        <v>0</v>
      </c>
      <c r="R29" s="75">
        <v>0</v>
      </c>
      <c r="S29" s="98">
        <f>M29/-2</f>
        <v>-2.5000000000000001E-2</v>
      </c>
      <c r="T29" s="98">
        <f>N29/-2</f>
        <v>-7.4999999999999997E-2</v>
      </c>
      <c r="U29" s="97">
        <f t="shared" si="2"/>
        <v>190.95</v>
      </c>
      <c r="V29" s="97">
        <f t="shared" si="3"/>
        <v>170.85</v>
      </c>
      <c r="W29" s="97">
        <f t="shared" si="4"/>
        <v>289.02499999999998</v>
      </c>
      <c r="X29" s="97">
        <f t="shared" si="5"/>
        <v>299.07499999999999</v>
      </c>
      <c r="Y29" s="97">
        <f t="shared" si="6"/>
        <v>0</v>
      </c>
      <c r="Z29" s="97">
        <f t="shared" si="10"/>
        <v>0</v>
      </c>
      <c r="AA29" s="114">
        <f t="shared" si="8"/>
        <v>1.0360824742268111E-2</v>
      </c>
      <c r="AB29" s="114">
        <f t="shared" si="9"/>
        <v>3.1082474226804217E-2</v>
      </c>
    </row>
    <row r="30" spans="1:28" ht="42.75" hidden="1" x14ac:dyDescent="0.2">
      <c r="A30" s="155" t="s">
        <v>236</v>
      </c>
      <c r="B30" s="72" t="str">
        <f t="shared" si="0"/>
        <v>Heating &amp; Cooling Systems - Air Source Heat PumpsEducational Facility</v>
      </c>
      <c r="C30" s="73" t="s">
        <v>106</v>
      </c>
      <c r="D30" s="74" t="s">
        <v>92</v>
      </c>
      <c r="E30" s="75">
        <v>0.21</v>
      </c>
      <c r="F30" s="75">
        <v>0.3</v>
      </c>
      <c r="G30" s="75">
        <v>0.3</v>
      </c>
      <c r="H30" s="75">
        <v>0.75</v>
      </c>
      <c r="I30" s="75">
        <f t="shared" si="1"/>
        <v>0.52500000000000002</v>
      </c>
      <c r="J30" s="109">
        <f>VLOOKUP(D30,'Existing Building EUI'!$B$7:$E$16,3,FALSE)</f>
        <v>201</v>
      </c>
      <c r="K30" s="109">
        <f>VLOOKUP(D30,'Existing Building EUI'!$B$7:$E$16,4,FALSE)</f>
        <v>284</v>
      </c>
      <c r="L30" s="109">
        <v>0</v>
      </c>
      <c r="M30" s="113">
        <v>0.8</v>
      </c>
      <c r="N30" s="75">
        <v>0.98</v>
      </c>
      <c r="O30" s="114">
        <v>0.05</v>
      </c>
      <c r="P30" s="114">
        <v>0.08</v>
      </c>
      <c r="Q30" s="75">
        <v>0</v>
      </c>
      <c r="R30" s="75">
        <v>0</v>
      </c>
      <c r="S30" s="98">
        <f>M30/-2</f>
        <v>-0.4</v>
      </c>
      <c r="T30" s="98">
        <f>N30/-2</f>
        <v>-0.49</v>
      </c>
      <c r="U30" s="97">
        <f t="shared" si="2"/>
        <v>40.199999999999989</v>
      </c>
      <c r="V30" s="97">
        <f t="shared" si="3"/>
        <v>4.0200000000000102</v>
      </c>
      <c r="W30" s="97">
        <f t="shared" si="4"/>
        <v>350.2</v>
      </c>
      <c r="X30" s="97">
        <f t="shared" si="5"/>
        <v>359.77</v>
      </c>
      <c r="Y30" s="97">
        <f t="shared" si="6"/>
        <v>0</v>
      </c>
      <c r="Z30" s="97">
        <f t="shared" si="10"/>
        <v>0</v>
      </c>
      <c r="AA30" s="114">
        <f t="shared" si="8"/>
        <v>0.19505154639175262</v>
      </c>
      <c r="AB30" s="114">
        <f t="shared" si="9"/>
        <v>0.24991752577319595</v>
      </c>
    </row>
    <row r="31" spans="1:28" ht="42.75" hidden="1" x14ac:dyDescent="0.2">
      <c r="A31" s="155" t="s">
        <v>236</v>
      </c>
      <c r="B31" s="72" t="str">
        <f t="shared" si="0"/>
        <v>Heating &amp; Cooling Systems - Low Carbon District Energy SystemEducational Facility</v>
      </c>
      <c r="C31" s="162" t="s">
        <v>276</v>
      </c>
      <c r="D31" s="74" t="s">
        <v>92</v>
      </c>
      <c r="E31" s="75">
        <v>0.21</v>
      </c>
      <c r="F31" s="75">
        <v>0.3</v>
      </c>
      <c r="G31" s="75">
        <v>0.3</v>
      </c>
      <c r="H31" s="75">
        <v>0.75</v>
      </c>
      <c r="I31" s="75">
        <f t="shared" si="1"/>
        <v>0.52500000000000002</v>
      </c>
      <c r="J31" s="109">
        <f>VLOOKUP(D31,'Existing Building EUI'!$B$7:$E$16,3,FALSE)</f>
        <v>201</v>
      </c>
      <c r="K31" s="109">
        <f>VLOOKUP(D31,'Existing Building EUI'!$B$7:$E$16,4,FALSE)</f>
        <v>284</v>
      </c>
      <c r="L31" s="109">
        <v>0</v>
      </c>
      <c r="M31" s="113">
        <v>0.8</v>
      </c>
      <c r="N31" s="75">
        <v>0.98</v>
      </c>
      <c r="O31" s="114">
        <v>0.05</v>
      </c>
      <c r="P31" s="114">
        <v>0.08</v>
      </c>
      <c r="Q31" s="75">
        <f>M31*-0.7</f>
        <v>-0.55999999999999994</v>
      </c>
      <c r="R31" s="75">
        <f>N31*-0.7</f>
        <v>-0.68599999999999994</v>
      </c>
      <c r="S31" s="75">
        <v>0</v>
      </c>
      <c r="T31" s="75">
        <v>0</v>
      </c>
      <c r="U31" s="97">
        <f t="shared" si="2"/>
        <v>40.199999999999989</v>
      </c>
      <c r="V31" s="97">
        <f t="shared" si="3"/>
        <v>4.0200000000000102</v>
      </c>
      <c r="W31" s="97">
        <f t="shared" si="4"/>
        <v>269.8</v>
      </c>
      <c r="X31" s="97">
        <f t="shared" si="5"/>
        <v>261.27999999999997</v>
      </c>
      <c r="Y31" s="97">
        <f t="shared" si="6"/>
        <v>112.55999999999999</v>
      </c>
      <c r="Z31" s="97">
        <f>(R31*J31)*-1</f>
        <v>137.886</v>
      </c>
      <c r="AA31" s="114">
        <f t="shared" si="8"/>
        <v>0.12874226804123712</v>
      </c>
      <c r="AB31" s="114">
        <f t="shared" si="9"/>
        <v>0.16868865979381459</v>
      </c>
    </row>
    <row r="32" spans="1:28" ht="42.75" hidden="1" x14ac:dyDescent="0.2">
      <c r="A32" s="155" t="s">
        <v>236</v>
      </c>
      <c r="B32" s="72" t="str">
        <f t="shared" si="0"/>
        <v>Heating &amp; Cooling Systems - Ground Source Heat PumpsEducational Facility</v>
      </c>
      <c r="C32" s="73" t="s">
        <v>107</v>
      </c>
      <c r="D32" s="74" t="s">
        <v>92</v>
      </c>
      <c r="E32" s="75">
        <v>0.21</v>
      </c>
      <c r="F32" s="75">
        <v>0.3</v>
      </c>
      <c r="G32" s="75">
        <v>0.3</v>
      </c>
      <c r="H32" s="75">
        <v>0.75</v>
      </c>
      <c r="I32" s="75">
        <f t="shared" si="1"/>
        <v>0.52500000000000002</v>
      </c>
      <c r="J32" s="109">
        <f>VLOOKUP(D32,'Existing Building EUI'!$B$7:$E$16,3,FALSE)</f>
        <v>201</v>
      </c>
      <c r="K32" s="109">
        <f>VLOOKUP(D32,'Existing Building EUI'!$B$7:$E$16,4,FALSE)</f>
        <v>284</v>
      </c>
      <c r="L32" s="109">
        <v>0</v>
      </c>
      <c r="M32" s="113">
        <v>0.8</v>
      </c>
      <c r="N32" s="75">
        <v>0.98</v>
      </c>
      <c r="O32" s="114">
        <v>0.05</v>
      </c>
      <c r="P32" s="114">
        <v>0.08</v>
      </c>
      <c r="Q32" s="75">
        <v>0</v>
      </c>
      <c r="R32" s="75">
        <v>0</v>
      </c>
      <c r="S32" s="98">
        <f>M32/-3</f>
        <v>-0.26666666666666666</v>
      </c>
      <c r="T32" s="98">
        <f>N32/-3</f>
        <v>-0.32666666666666666</v>
      </c>
      <c r="U32" s="97">
        <f t="shared" si="2"/>
        <v>40.199999999999989</v>
      </c>
      <c r="V32" s="97">
        <f t="shared" si="3"/>
        <v>4.0200000000000102</v>
      </c>
      <c r="W32" s="97">
        <f t="shared" si="4"/>
        <v>323.39999999999998</v>
      </c>
      <c r="X32" s="97">
        <f t="shared" si="5"/>
        <v>326.94</v>
      </c>
      <c r="Y32" s="97">
        <f t="shared" si="6"/>
        <v>0</v>
      </c>
      <c r="Z32" s="97">
        <f t="shared" ref="Z32:Z50" si="11">R32*J32</f>
        <v>0</v>
      </c>
      <c r="AA32" s="114">
        <f t="shared" si="8"/>
        <v>0.25030927835051553</v>
      </c>
      <c r="AB32" s="114">
        <f t="shared" si="9"/>
        <v>0.31760824742268035</v>
      </c>
    </row>
    <row r="33" spans="1:28" ht="28.5" hidden="1" x14ac:dyDescent="0.2">
      <c r="A33" s="155" t="s">
        <v>236</v>
      </c>
      <c r="B33" s="72" t="str">
        <f t="shared" si="0"/>
        <v>Lighting and Lighting ControlsEducational Facility</v>
      </c>
      <c r="C33" s="73" t="s">
        <v>110</v>
      </c>
      <c r="D33" s="74" t="s">
        <v>92</v>
      </c>
      <c r="E33" s="75">
        <v>0.01</v>
      </c>
      <c r="F33" s="75">
        <v>0.1</v>
      </c>
      <c r="G33" s="75">
        <v>0.01</v>
      </c>
      <c r="H33" s="75">
        <v>0.05</v>
      </c>
      <c r="I33" s="75">
        <f t="shared" si="1"/>
        <v>3.0000000000000002E-2</v>
      </c>
      <c r="J33" s="109">
        <f>VLOOKUP(D33,'Existing Building EUI'!$B$7:$E$16,3,FALSE)</f>
        <v>201</v>
      </c>
      <c r="K33" s="109">
        <f>VLOOKUP(D33,'Existing Building EUI'!$B$7:$E$16,4,FALSE)</f>
        <v>284</v>
      </c>
      <c r="L33" s="109">
        <v>0</v>
      </c>
      <c r="M33" s="113">
        <v>0</v>
      </c>
      <c r="N33" s="75">
        <v>0</v>
      </c>
      <c r="O33" s="114">
        <v>0.01</v>
      </c>
      <c r="P33" s="114">
        <v>0.17</v>
      </c>
      <c r="Q33" s="75">
        <v>0</v>
      </c>
      <c r="R33" s="75">
        <v>0</v>
      </c>
      <c r="S33" s="75">
        <v>0</v>
      </c>
      <c r="T33" s="75">
        <v>0</v>
      </c>
      <c r="U33" s="97">
        <f t="shared" si="2"/>
        <v>201</v>
      </c>
      <c r="V33" s="97">
        <f t="shared" si="3"/>
        <v>201</v>
      </c>
      <c r="W33" s="97">
        <f t="shared" si="4"/>
        <v>281.16000000000003</v>
      </c>
      <c r="X33" s="97">
        <f t="shared" si="5"/>
        <v>235.72</v>
      </c>
      <c r="Y33" s="97">
        <f t="shared" si="6"/>
        <v>0</v>
      </c>
      <c r="Z33" s="97">
        <f t="shared" si="11"/>
        <v>0</v>
      </c>
      <c r="AA33" s="114">
        <f t="shared" si="8"/>
        <v>5.8556701030927317E-3</v>
      </c>
      <c r="AB33" s="114">
        <f t="shared" si="9"/>
        <v>9.9546391752577262E-2</v>
      </c>
    </row>
    <row r="34" spans="1:28" ht="28.5" hidden="1" x14ac:dyDescent="0.2">
      <c r="A34" s="155" t="s">
        <v>236</v>
      </c>
      <c r="B34" s="72" t="str">
        <f t="shared" si="0"/>
        <v>Renewables - Solar PVEducational Facility</v>
      </c>
      <c r="C34" s="73" t="s">
        <v>111</v>
      </c>
      <c r="D34" s="74" t="s">
        <v>92</v>
      </c>
      <c r="E34" s="75">
        <v>0.01</v>
      </c>
      <c r="F34" s="75">
        <v>0.1</v>
      </c>
      <c r="G34" s="75">
        <v>0.01</v>
      </c>
      <c r="H34" s="75">
        <v>0.03</v>
      </c>
      <c r="I34" s="75">
        <f t="shared" si="1"/>
        <v>0.02</v>
      </c>
      <c r="J34" s="109">
        <f>VLOOKUP(D34,'Existing Building EUI'!$B$7:$E$16,3,FALSE)</f>
        <v>201</v>
      </c>
      <c r="K34" s="109">
        <f>VLOOKUP(D34,'Existing Building EUI'!$B$7:$E$16,4,FALSE)</f>
        <v>284</v>
      </c>
      <c r="L34" s="109">
        <v>0</v>
      </c>
      <c r="M34" s="113">
        <v>0</v>
      </c>
      <c r="N34" s="75">
        <v>0</v>
      </c>
      <c r="O34" s="114">
        <v>0.02</v>
      </c>
      <c r="P34" s="114">
        <v>0.17</v>
      </c>
      <c r="Q34" s="75">
        <v>0</v>
      </c>
      <c r="R34" s="75">
        <v>0</v>
      </c>
      <c r="S34" s="75">
        <v>0</v>
      </c>
      <c r="T34" s="75">
        <v>0</v>
      </c>
      <c r="U34" s="97">
        <f t="shared" si="2"/>
        <v>201</v>
      </c>
      <c r="V34" s="97">
        <f t="shared" si="3"/>
        <v>201</v>
      </c>
      <c r="W34" s="97">
        <f t="shared" si="4"/>
        <v>278.32</v>
      </c>
      <c r="X34" s="97">
        <f t="shared" si="5"/>
        <v>235.72</v>
      </c>
      <c r="Y34" s="97">
        <f t="shared" si="6"/>
        <v>0</v>
      </c>
      <c r="Z34" s="97">
        <f t="shared" si="11"/>
        <v>0</v>
      </c>
      <c r="AA34" s="114">
        <f t="shared" si="8"/>
        <v>1.1711340206185581E-2</v>
      </c>
      <c r="AB34" s="114">
        <f t="shared" si="9"/>
        <v>9.9546391752577262E-2</v>
      </c>
    </row>
    <row r="35" spans="1:28" ht="28.5" hidden="1" x14ac:dyDescent="0.2">
      <c r="A35" s="155" t="s">
        <v>236</v>
      </c>
      <c r="B35" s="72" t="str">
        <f t="shared" si="0"/>
        <v>Renewables - Solar ThermalEducational Facility</v>
      </c>
      <c r="C35" s="73" t="s">
        <v>112</v>
      </c>
      <c r="D35" s="74" t="s">
        <v>92</v>
      </c>
      <c r="E35" s="75">
        <v>0.01</v>
      </c>
      <c r="F35" s="75">
        <v>0.1</v>
      </c>
      <c r="G35" s="75">
        <v>0.01</v>
      </c>
      <c r="H35" s="75">
        <v>0.03</v>
      </c>
      <c r="I35" s="75">
        <f t="shared" si="1"/>
        <v>0.02</v>
      </c>
      <c r="J35" s="109">
        <f>VLOOKUP(D35,'Existing Building EUI'!$B$7:$E$16,3,FALSE)</f>
        <v>201</v>
      </c>
      <c r="K35" s="109">
        <f>VLOOKUP(D35,'Existing Building EUI'!$B$7:$E$16,4,FALSE)</f>
        <v>284</v>
      </c>
      <c r="L35" s="109">
        <v>0</v>
      </c>
      <c r="M35" s="113">
        <v>0.02</v>
      </c>
      <c r="N35" s="75">
        <v>0.1</v>
      </c>
      <c r="O35" s="114">
        <v>0</v>
      </c>
      <c r="P35" s="114">
        <v>0</v>
      </c>
      <c r="Q35" s="75">
        <v>0</v>
      </c>
      <c r="R35" s="75">
        <v>0</v>
      </c>
      <c r="S35" s="75">
        <v>0</v>
      </c>
      <c r="T35" s="75">
        <v>0</v>
      </c>
      <c r="U35" s="97">
        <f t="shared" si="2"/>
        <v>196.98</v>
      </c>
      <c r="V35" s="97">
        <f t="shared" si="3"/>
        <v>180.9</v>
      </c>
      <c r="W35" s="97">
        <f t="shared" si="4"/>
        <v>284</v>
      </c>
      <c r="X35" s="97">
        <f t="shared" si="5"/>
        <v>284</v>
      </c>
      <c r="Y35" s="97">
        <f t="shared" si="6"/>
        <v>0</v>
      </c>
      <c r="Z35" s="97">
        <f t="shared" si="11"/>
        <v>0</v>
      </c>
      <c r="AA35" s="114">
        <f t="shared" si="8"/>
        <v>8.2886597938143947E-3</v>
      </c>
      <c r="AB35" s="114">
        <f t="shared" si="9"/>
        <v>4.1443298969072215E-2</v>
      </c>
    </row>
    <row r="36" spans="1:28" ht="42.75" hidden="1" x14ac:dyDescent="0.2">
      <c r="A36" s="155" t="s">
        <v>236</v>
      </c>
      <c r="B36" s="72" t="str">
        <f t="shared" si="0"/>
        <v>Ventilation Systems - Energy Recovery Ventilators (ERV), Electric HumidifiersEducational Facility</v>
      </c>
      <c r="C36" s="73" t="s">
        <v>113</v>
      </c>
      <c r="D36" s="74" t="s">
        <v>92</v>
      </c>
      <c r="E36" s="75">
        <v>0.01</v>
      </c>
      <c r="F36" s="75">
        <v>0.1</v>
      </c>
      <c r="G36" s="75">
        <v>0.01</v>
      </c>
      <c r="H36" s="75">
        <v>0.1</v>
      </c>
      <c r="I36" s="75">
        <f t="shared" si="1"/>
        <v>5.5E-2</v>
      </c>
      <c r="J36" s="109">
        <f>VLOOKUP(D36,'Existing Building EUI'!$B$7:$E$16,3,FALSE)</f>
        <v>201</v>
      </c>
      <c r="K36" s="109">
        <f>VLOOKUP(D36,'Existing Building EUI'!$B$7:$E$16,4,FALSE)</f>
        <v>284</v>
      </c>
      <c r="L36" s="109">
        <v>0</v>
      </c>
      <c r="M36" s="113">
        <v>0.01</v>
      </c>
      <c r="N36" s="75">
        <v>0.1</v>
      </c>
      <c r="O36" s="114">
        <v>0.01</v>
      </c>
      <c r="P36" s="114">
        <v>0.05</v>
      </c>
      <c r="Q36" s="75">
        <v>0</v>
      </c>
      <c r="R36" s="75">
        <v>0</v>
      </c>
      <c r="S36" s="98">
        <v>0</v>
      </c>
      <c r="T36" s="98">
        <v>0</v>
      </c>
      <c r="U36" s="97">
        <f t="shared" si="2"/>
        <v>198.99</v>
      </c>
      <c r="V36" s="97">
        <f t="shared" si="3"/>
        <v>180.9</v>
      </c>
      <c r="W36" s="97">
        <f t="shared" si="4"/>
        <v>281.16000000000003</v>
      </c>
      <c r="X36" s="97">
        <f t="shared" si="5"/>
        <v>269.8</v>
      </c>
      <c r="Y36" s="97">
        <f t="shared" si="6"/>
        <v>0</v>
      </c>
      <c r="Z36" s="97">
        <f t="shared" si="11"/>
        <v>0</v>
      </c>
      <c r="AA36" s="114">
        <f t="shared" si="8"/>
        <v>9.9999999999999291E-3</v>
      </c>
      <c r="AB36" s="114">
        <f t="shared" si="9"/>
        <v>7.0721649484535992E-2</v>
      </c>
    </row>
    <row r="37" spans="1:28" ht="15" hidden="1" x14ac:dyDescent="0.2">
      <c r="A37" s="155" t="s">
        <v>236</v>
      </c>
      <c r="B37" s="72" t="str">
        <f t="shared" si="0"/>
        <v>Appliance UpgradesLow Rise Office</v>
      </c>
      <c r="C37" s="73" t="s">
        <v>109</v>
      </c>
      <c r="D37" s="74" t="s">
        <v>117</v>
      </c>
      <c r="E37" s="75">
        <v>0.01</v>
      </c>
      <c r="F37" s="75">
        <v>0.02</v>
      </c>
      <c r="G37" s="75">
        <v>0</v>
      </c>
      <c r="H37" s="75">
        <v>0.01</v>
      </c>
      <c r="I37" s="75">
        <f t="shared" si="1"/>
        <v>5.0000000000000001E-3</v>
      </c>
      <c r="J37" s="109">
        <f>VLOOKUP(D37,'Existing Building EUI'!$B$7:$E$16,3,FALSE)</f>
        <v>149</v>
      </c>
      <c r="K37" s="109">
        <f>VLOOKUP(D37,'Existing Building EUI'!$B$7:$E$16,4,FALSE)</f>
        <v>204</v>
      </c>
      <c r="L37" s="109">
        <v>0</v>
      </c>
      <c r="M37" s="113">
        <v>0</v>
      </c>
      <c r="N37" s="75">
        <v>0</v>
      </c>
      <c r="O37" s="114">
        <v>0.02</v>
      </c>
      <c r="P37" s="114">
        <v>0.04</v>
      </c>
      <c r="Q37" s="75">
        <v>0</v>
      </c>
      <c r="R37" s="75">
        <v>0</v>
      </c>
      <c r="S37" s="75">
        <v>0</v>
      </c>
      <c r="T37" s="75">
        <v>0</v>
      </c>
      <c r="U37" s="97">
        <f t="shared" si="2"/>
        <v>149</v>
      </c>
      <c r="V37" s="97">
        <f t="shared" si="3"/>
        <v>149</v>
      </c>
      <c r="W37" s="97">
        <f t="shared" si="4"/>
        <v>199.92</v>
      </c>
      <c r="X37" s="97">
        <f t="shared" si="5"/>
        <v>195.84</v>
      </c>
      <c r="Y37" s="97">
        <f t="shared" si="6"/>
        <v>0</v>
      </c>
      <c r="Z37" s="97">
        <f t="shared" si="11"/>
        <v>0</v>
      </c>
      <c r="AA37" s="114">
        <f t="shared" si="8"/>
        <v>1.155807365439105E-2</v>
      </c>
      <c r="AB37" s="114">
        <f t="shared" si="9"/>
        <v>2.3116147308781778E-2</v>
      </c>
    </row>
    <row r="38" spans="1:28" ht="42.75" hidden="1" x14ac:dyDescent="0.2">
      <c r="A38" s="155" t="s">
        <v>236</v>
      </c>
      <c r="B38" s="72" t="str">
        <f t="shared" ref="B38:B69" si="12">C38&amp;D38</f>
        <v>Building Envelope - High Performance Glazing with Enhanced Air SealingLow Rise Office</v>
      </c>
      <c r="C38" s="73" t="s">
        <v>102</v>
      </c>
      <c r="D38" s="74" t="s">
        <v>117</v>
      </c>
      <c r="E38" s="75">
        <v>0.01</v>
      </c>
      <c r="F38" s="75">
        <v>0.1</v>
      </c>
      <c r="G38" s="75">
        <v>0.01</v>
      </c>
      <c r="H38" s="75">
        <v>0.1</v>
      </c>
      <c r="I38" s="75">
        <f t="shared" ref="I38:I69" si="13">AVERAGE(G38:H38)</f>
        <v>5.5E-2</v>
      </c>
      <c r="J38" s="109">
        <f>VLOOKUP(D38,'Existing Building EUI'!$B$7:$E$16,3,FALSE)</f>
        <v>149</v>
      </c>
      <c r="K38" s="109">
        <f>VLOOKUP(D38,'Existing Building EUI'!$B$7:$E$16,4,FALSE)</f>
        <v>204</v>
      </c>
      <c r="L38" s="109">
        <v>0</v>
      </c>
      <c r="M38" s="113">
        <v>0.01</v>
      </c>
      <c r="N38" s="75">
        <v>0.12</v>
      </c>
      <c r="O38" s="113">
        <v>0.01</v>
      </c>
      <c r="P38" s="114">
        <v>0.08</v>
      </c>
      <c r="Q38" s="75">
        <v>0</v>
      </c>
      <c r="R38" s="75">
        <v>0</v>
      </c>
      <c r="S38" s="75">
        <v>0</v>
      </c>
      <c r="T38" s="75">
        <v>0</v>
      </c>
      <c r="U38" s="97">
        <f t="shared" ref="U38:U69" si="14">J38-(J38*M38)</f>
        <v>147.51</v>
      </c>
      <c r="V38" s="97">
        <f t="shared" ref="V38:V69" si="15">J38-(J38*N38)</f>
        <v>131.12</v>
      </c>
      <c r="W38" s="97">
        <f t="shared" ref="W38:W69" si="16">K38-((K38*O38)+(J38*S38))</f>
        <v>201.96</v>
      </c>
      <c r="X38" s="97">
        <f t="shared" ref="X38:X69" si="17">K38-((K38*P38)+(J38*T38))</f>
        <v>187.68</v>
      </c>
      <c r="Y38" s="97">
        <f t="shared" ref="Y38:Y69" si="18">(Q38*J38)*-1</f>
        <v>0</v>
      </c>
      <c r="Z38" s="97">
        <f t="shared" si="11"/>
        <v>0</v>
      </c>
      <c r="AA38" s="114">
        <f t="shared" ref="AA38:AA69" si="19">(SUM(U38,W38,Y38)-SUM(J38:K38))/SUM(J38:K38)*-1</f>
        <v>9.9999999999999221E-3</v>
      </c>
      <c r="AB38" s="114">
        <f t="shared" ref="AB38:AB69" si="20">(SUM(V38,X38,Z38)-SUM(J38:K38))/SUM(J38:K38)*-1</f>
        <v>9.6883852691218103E-2</v>
      </c>
    </row>
    <row r="39" spans="1:28" ht="42.75" hidden="1" x14ac:dyDescent="0.2">
      <c r="A39" s="155" t="s">
        <v>236</v>
      </c>
      <c r="B39" s="72" t="str">
        <f t="shared" si="12"/>
        <v>Building Envelope - High Performance Glazing, Wall Insulation, &amp; Roof InsulationLow Rise Office</v>
      </c>
      <c r="C39" s="73" t="s">
        <v>104</v>
      </c>
      <c r="D39" s="74" t="s">
        <v>117</v>
      </c>
      <c r="E39" s="75">
        <v>0.11</v>
      </c>
      <c r="F39" s="75">
        <v>0.2</v>
      </c>
      <c r="G39" s="75">
        <v>0.01</v>
      </c>
      <c r="H39" s="75">
        <v>0.1</v>
      </c>
      <c r="I39" s="75">
        <f t="shared" si="13"/>
        <v>5.5E-2</v>
      </c>
      <c r="J39" s="109">
        <f>VLOOKUP(D39,'Existing Building EUI'!$B$7:$E$16,3,FALSE)</f>
        <v>149</v>
      </c>
      <c r="K39" s="109">
        <f>VLOOKUP(D39,'Existing Building EUI'!$B$7:$E$16,4,FALSE)</f>
        <v>204</v>
      </c>
      <c r="L39" s="109">
        <v>0</v>
      </c>
      <c r="M39" s="113">
        <v>0.15</v>
      </c>
      <c r="N39" s="75">
        <v>0.2</v>
      </c>
      <c r="O39" s="114">
        <v>0.08</v>
      </c>
      <c r="P39" s="114">
        <v>0.15</v>
      </c>
      <c r="Q39" s="75">
        <v>0</v>
      </c>
      <c r="R39" s="75">
        <v>0</v>
      </c>
      <c r="S39" s="75">
        <v>0</v>
      </c>
      <c r="T39" s="75">
        <v>0</v>
      </c>
      <c r="U39" s="97">
        <f t="shared" si="14"/>
        <v>126.65</v>
      </c>
      <c r="V39" s="97">
        <f t="shared" si="15"/>
        <v>119.2</v>
      </c>
      <c r="W39" s="97">
        <f t="shared" si="16"/>
        <v>187.68</v>
      </c>
      <c r="X39" s="97">
        <f t="shared" si="17"/>
        <v>173.4</v>
      </c>
      <c r="Y39" s="97">
        <f t="shared" si="18"/>
        <v>0</v>
      </c>
      <c r="Z39" s="97">
        <f t="shared" si="11"/>
        <v>0</v>
      </c>
      <c r="AA39" s="114">
        <f t="shared" si="19"/>
        <v>0.10954674220963161</v>
      </c>
      <c r="AB39" s="114">
        <f t="shared" si="20"/>
        <v>0.1711048158640226</v>
      </c>
    </row>
    <row r="40" spans="1:28" ht="42.75" x14ac:dyDescent="0.2">
      <c r="A40" s="155" t="s">
        <v>236</v>
      </c>
      <c r="B40" s="72" t="str">
        <f t="shared" si="12"/>
        <v>Domestic Hot Water - Heat Pump and Electric Resistance Water HeatersLow Rise Office</v>
      </c>
      <c r="C40" s="73" t="s">
        <v>105</v>
      </c>
      <c r="D40" s="74" t="s">
        <v>117</v>
      </c>
      <c r="E40" s="75">
        <v>0.01</v>
      </c>
      <c r="F40" s="75">
        <v>0.05</v>
      </c>
      <c r="G40" s="75">
        <v>0.01</v>
      </c>
      <c r="H40" s="75">
        <v>0.1</v>
      </c>
      <c r="I40" s="75">
        <f t="shared" si="13"/>
        <v>5.5E-2</v>
      </c>
      <c r="J40" s="109">
        <f>VLOOKUP(D40,'Existing Building EUI'!$B$7:$E$16,3,FALSE)</f>
        <v>149</v>
      </c>
      <c r="K40" s="109">
        <f>VLOOKUP(D40,'Existing Building EUI'!$B$7:$E$16,4,FALSE)</f>
        <v>204</v>
      </c>
      <c r="L40" s="109">
        <v>0</v>
      </c>
      <c r="M40" s="113">
        <v>0.02</v>
      </c>
      <c r="N40" s="75">
        <v>0.15</v>
      </c>
      <c r="O40" s="114">
        <v>0</v>
      </c>
      <c r="P40" s="114">
        <v>0</v>
      </c>
      <c r="Q40" s="75">
        <v>0</v>
      </c>
      <c r="R40" s="75">
        <v>0</v>
      </c>
      <c r="S40" s="98">
        <f>M40/-4</f>
        <v>-5.0000000000000001E-3</v>
      </c>
      <c r="T40" s="98">
        <f>N40/-4</f>
        <v>-3.7499999999999999E-2</v>
      </c>
      <c r="U40" s="97">
        <f t="shared" si="14"/>
        <v>146.02000000000001</v>
      </c>
      <c r="V40" s="97">
        <f t="shared" si="15"/>
        <v>126.65</v>
      </c>
      <c r="W40" s="97">
        <f t="shared" si="16"/>
        <v>204.745</v>
      </c>
      <c r="X40" s="97">
        <f t="shared" si="17"/>
        <v>209.58750000000001</v>
      </c>
      <c r="Y40" s="97">
        <f t="shared" si="18"/>
        <v>0</v>
      </c>
      <c r="Z40" s="97">
        <f t="shared" si="11"/>
        <v>0</v>
      </c>
      <c r="AA40" s="114">
        <f t="shared" si="19"/>
        <v>6.3314447592068375E-3</v>
      </c>
      <c r="AB40" s="114">
        <f t="shared" si="20"/>
        <v>4.748583569405096E-2</v>
      </c>
    </row>
    <row r="41" spans="1:28" ht="57" hidden="1" x14ac:dyDescent="0.2">
      <c r="A41" s="155" t="s">
        <v>236</v>
      </c>
      <c r="B41" s="72" t="str">
        <f t="shared" si="12"/>
        <v>Heating, Cooling, Ventilation Systems - Rooftop Air Source Heat Pump with Electric BaseboardLow Rise Office</v>
      </c>
      <c r="C41" s="73" t="s">
        <v>118</v>
      </c>
      <c r="D41" s="74" t="s">
        <v>117</v>
      </c>
      <c r="E41" s="75">
        <v>0.21</v>
      </c>
      <c r="F41" s="75">
        <v>0.3</v>
      </c>
      <c r="G41" s="75">
        <v>0.3</v>
      </c>
      <c r="H41" s="75">
        <v>0.75</v>
      </c>
      <c r="I41" s="75">
        <f t="shared" si="13"/>
        <v>0.52500000000000002</v>
      </c>
      <c r="J41" s="109">
        <f>VLOOKUP(D41,'Existing Building EUI'!$B$7:$E$16,3,FALSE)</f>
        <v>149</v>
      </c>
      <c r="K41" s="109">
        <f>VLOOKUP(D41,'Existing Building EUI'!$B$7:$E$16,4,FALSE)</f>
        <v>204</v>
      </c>
      <c r="L41" s="109">
        <v>0</v>
      </c>
      <c r="M41" s="113">
        <v>0.85</v>
      </c>
      <c r="N41" s="75">
        <v>0.97</v>
      </c>
      <c r="O41" s="114">
        <v>0.08</v>
      </c>
      <c r="P41" s="114">
        <v>0.1</v>
      </c>
      <c r="Q41" s="75">
        <v>0</v>
      </c>
      <c r="R41" s="75">
        <v>0</v>
      </c>
      <c r="S41" s="98">
        <f>M41/-2</f>
        <v>-0.42499999999999999</v>
      </c>
      <c r="T41" s="98">
        <f>N41/-2</f>
        <v>-0.48499999999999999</v>
      </c>
      <c r="U41" s="97">
        <f t="shared" si="14"/>
        <v>22.350000000000009</v>
      </c>
      <c r="V41" s="97">
        <f t="shared" si="15"/>
        <v>4.4699999999999989</v>
      </c>
      <c r="W41" s="97">
        <f t="shared" si="16"/>
        <v>251.005</v>
      </c>
      <c r="X41" s="97">
        <f t="shared" si="17"/>
        <v>255.86500000000001</v>
      </c>
      <c r="Y41" s="97">
        <f t="shared" si="18"/>
        <v>0</v>
      </c>
      <c r="Z41" s="97">
        <f t="shared" si="11"/>
        <v>0</v>
      </c>
      <c r="AA41" s="114">
        <f t="shared" si="19"/>
        <v>0.22562322946175634</v>
      </c>
      <c r="AB41" s="114">
        <f t="shared" si="20"/>
        <v>0.26250708215297441</v>
      </c>
    </row>
    <row r="42" spans="1:28" ht="28.5" hidden="1" x14ac:dyDescent="0.2">
      <c r="A42" s="155" t="s">
        <v>236</v>
      </c>
      <c r="B42" s="72" t="str">
        <f t="shared" si="12"/>
        <v>Lighting and Lighting ControlsLow Rise Office</v>
      </c>
      <c r="C42" s="73" t="s">
        <v>110</v>
      </c>
      <c r="D42" s="74" t="s">
        <v>117</v>
      </c>
      <c r="E42" s="75">
        <v>0.01</v>
      </c>
      <c r="F42" s="75">
        <v>0.1</v>
      </c>
      <c r="G42" s="75">
        <v>0.01</v>
      </c>
      <c r="H42" s="75">
        <v>0.1</v>
      </c>
      <c r="I42" s="75">
        <f t="shared" si="13"/>
        <v>5.5E-2</v>
      </c>
      <c r="J42" s="109">
        <f>VLOOKUP(D42,'Existing Building EUI'!$B$7:$E$16,3,FALSE)</f>
        <v>149</v>
      </c>
      <c r="K42" s="109">
        <f>VLOOKUP(D42,'Existing Building EUI'!$B$7:$E$16,4,FALSE)</f>
        <v>204</v>
      </c>
      <c r="L42" s="109">
        <v>0</v>
      </c>
      <c r="M42" s="113">
        <v>0</v>
      </c>
      <c r="N42" s="75">
        <v>0</v>
      </c>
      <c r="O42" s="114">
        <v>0.01</v>
      </c>
      <c r="P42" s="114">
        <v>0.18</v>
      </c>
      <c r="Q42" s="75">
        <v>0</v>
      </c>
      <c r="R42" s="75">
        <v>0</v>
      </c>
      <c r="S42" s="75">
        <v>0</v>
      </c>
      <c r="T42" s="75">
        <v>0</v>
      </c>
      <c r="U42" s="97">
        <f t="shared" si="14"/>
        <v>149</v>
      </c>
      <c r="V42" s="97">
        <f t="shared" si="15"/>
        <v>149</v>
      </c>
      <c r="W42" s="97">
        <f t="shared" si="16"/>
        <v>201.96</v>
      </c>
      <c r="X42" s="97">
        <f t="shared" si="17"/>
        <v>167.28</v>
      </c>
      <c r="Y42" s="97">
        <f t="shared" si="18"/>
        <v>0</v>
      </c>
      <c r="Z42" s="97">
        <f t="shared" si="11"/>
        <v>0</v>
      </c>
      <c r="AA42" s="114">
        <f t="shared" si="19"/>
        <v>5.7790368271953647E-3</v>
      </c>
      <c r="AB42" s="114">
        <f t="shared" si="20"/>
        <v>0.10402266288951849</v>
      </c>
    </row>
    <row r="43" spans="1:28" ht="28.5" hidden="1" x14ac:dyDescent="0.2">
      <c r="A43" s="155" t="s">
        <v>236</v>
      </c>
      <c r="B43" s="72" t="str">
        <f t="shared" si="12"/>
        <v>Renewables - Solar PVLow Rise Office</v>
      </c>
      <c r="C43" s="73" t="s">
        <v>111</v>
      </c>
      <c r="D43" s="74" t="s">
        <v>117</v>
      </c>
      <c r="E43" s="75">
        <v>0.01</v>
      </c>
      <c r="F43" s="75">
        <v>0.1</v>
      </c>
      <c r="G43" s="75">
        <v>0.01</v>
      </c>
      <c r="H43" s="75">
        <v>0.05</v>
      </c>
      <c r="I43" s="75">
        <f t="shared" si="13"/>
        <v>3.0000000000000002E-2</v>
      </c>
      <c r="J43" s="109">
        <f>VLOOKUP(D43,'Existing Building EUI'!$B$7:$E$16,3,FALSE)</f>
        <v>149</v>
      </c>
      <c r="K43" s="109">
        <f>VLOOKUP(D43,'Existing Building EUI'!$B$7:$E$16,4,FALSE)</f>
        <v>204</v>
      </c>
      <c r="L43" s="109">
        <v>0</v>
      </c>
      <c r="M43" s="113">
        <v>0</v>
      </c>
      <c r="N43" s="75">
        <v>0</v>
      </c>
      <c r="O43" s="114">
        <v>0.02</v>
      </c>
      <c r="P43" s="114">
        <v>0.17</v>
      </c>
      <c r="Q43" s="75">
        <v>0</v>
      </c>
      <c r="R43" s="75">
        <v>0</v>
      </c>
      <c r="S43" s="75">
        <v>0</v>
      </c>
      <c r="T43" s="75">
        <v>0</v>
      </c>
      <c r="U43" s="97">
        <f t="shared" si="14"/>
        <v>149</v>
      </c>
      <c r="V43" s="97">
        <f t="shared" si="15"/>
        <v>149</v>
      </c>
      <c r="W43" s="97">
        <f t="shared" si="16"/>
        <v>199.92</v>
      </c>
      <c r="X43" s="97">
        <f t="shared" si="17"/>
        <v>169.32</v>
      </c>
      <c r="Y43" s="97">
        <f t="shared" si="18"/>
        <v>0</v>
      </c>
      <c r="Z43" s="97">
        <f t="shared" si="11"/>
        <v>0</v>
      </c>
      <c r="AA43" s="114">
        <f t="shared" si="19"/>
        <v>1.155807365439105E-2</v>
      </c>
      <c r="AB43" s="114">
        <f t="shared" si="20"/>
        <v>9.8243626062322967E-2</v>
      </c>
    </row>
    <row r="44" spans="1:28" ht="28.5" hidden="1" x14ac:dyDescent="0.2">
      <c r="A44" s="155" t="s">
        <v>236</v>
      </c>
      <c r="B44" s="72" t="str">
        <f t="shared" si="12"/>
        <v>Renewables - Solar ThermalLow Rise Office</v>
      </c>
      <c r="C44" s="73" t="s">
        <v>112</v>
      </c>
      <c r="D44" s="74" t="s">
        <v>117</v>
      </c>
      <c r="E44" s="75">
        <v>0.01</v>
      </c>
      <c r="F44" s="75">
        <v>0.1</v>
      </c>
      <c r="G44" s="75">
        <v>0.01</v>
      </c>
      <c r="H44" s="75">
        <v>0.05</v>
      </c>
      <c r="I44" s="75">
        <f t="shared" si="13"/>
        <v>3.0000000000000002E-2</v>
      </c>
      <c r="J44" s="109">
        <f>VLOOKUP(D44,'Existing Building EUI'!$B$7:$E$16,3,FALSE)</f>
        <v>149</v>
      </c>
      <c r="K44" s="109">
        <f>VLOOKUP(D44,'Existing Building EUI'!$B$7:$E$16,4,FALSE)</f>
        <v>204</v>
      </c>
      <c r="L44" s="109">
        <v>0</v>
      </c>
      <c r="M44" s="113">
        <v>0.02</v>
      </c>
      <c r="N44" s="75">
        <v>0.1</v>
      </c>
      <c r="O44" s="114">
        <v>0</v>
      </c>
      <c r="P44" s="114">
        <v>0</v>
      </c>
      <c r="Q44" s="75">
        <v>0</v>
      </c>
      <c r="R44" s="75">
        <v>0</v>
      </c>
      <c r="S44" s="75">
        <v>0</v>
      </c>
      <c r="T44" s="75">
        <v>0</v>
      </c>
      <c r="U44" s="97">
        <f t="shared" si="14"/>
        <v>146.02000000000001</v>
      </c>
      <c r="V44" s="97">
        <f t="shared" si="15"/>
        <v>134.1</v>
      </c>
      <c r="W44" s="97">
        <f t="shared" si="16"/>
        <v>204</v>
      </c>
      <c r="X44" s="97">
        <f t="shared" si="17"/>
        <v>204</v>
      </c>
      <c r="Y44" s="97">
        <f t="shared" si="18"/>
        <v>0</v>
      </c>
      <c r="Z44" s="97">
        <f t="shared" si="11"/>
        <v>0</v>
      </c>
      <c r="AA44" s="114">
        <f t="shared" si="19"/>
        <v>8.4419263456091166E-3</v>
      </c>
      <c r="AB44" s="114">
        <f t="shared" si="20"/>
        <v>4.220963172804526E-2</v>
      </c>
    </row>
    <row r="45" spans="1:28" ht="42.75" hidden="1" x14ac:dyDescent="0.2">
      <c r="A45" s="155" t="s">
        <v>236</v>
      </c>
      <c r="B45" s="72" t="str">
        <f t="shared" si="12"/>
        <v>Appliance Upgrades &amp; Lighting and Lighting ControlsLow Rise Rental Apartment</v>
      </c>
      <c r="C45" s="73" t="s">
        <v>124</v>
      </c>
      <c r="D45" s="74" t="s">
        <v>125</v>
      </c>
      <c r="E45" s="75">
        <v>0.11</v>
      </c>
      <c r="F45" s="75">
        <v>0.2</v>
      </c>
      <c r="G45" s="75">
        <v>0.01</v>
      </c>
      <c r="H45" s="75">
        <v>0.1</v>
      </c>
      <c r="I45" s="75">
        <f t="shared" si="13"/>
        <v>5.5E-2</v>
      </c>
      <c r="J45" s="109">
        <f>VLOOKUP(D45,'Existing Building EUI'!$B$7:$E$16,3,FALSE)</f>
        <v>234</v>
      </c>
      <c r="K45" s="109">
        <f>VLOOKUP(D45,'Existing Building EUI'!$B$7:$E$16,4,FALSE)</f>
        <v>107</v>
      </c>
      <c r="L45" s="109">
        <v>0</v>
      </c>
      <c r="M45" s="113">
        <v>0</v>
      </c>
      <c r="N45" s="75">
        <v>0</v>
      </c>
      <c r="O45" s="114">
        <v>0.35</v>
      </c>
      <c r="P45" s="114">
        <v>0.5</v>
      </c>
      <c r="Q45" s="75">
        <v>0</v>
      </c>
      <c r="R45" s="75">
        <v>0</v>
      </c>
      <c r="S45" s="75">
        <v>0</v>
      </c>
      <c r="T45" s="75">
        <v>0</v>
      </c>
      <c r="U45" s="97">
        <f t="shared" si="14"/>
        <v>234</v>
      </c>
      <c r="V45" s="97">
        <f t="shared" si="15"/>
        <v>234</v>
      </c>
      <c r="W45" s="97">
        <f t="shared" si="16"/>
        <v>69.550000000000011</v>
      </c>
      <c r="X45" s="97">
        <f t="shared" si="17"/>
        <v>53.5</v>
      </c>
      <c r="Y45" s="97">
        <f t="shared" si="18"/>
        <v>0</v>
      </c>
      <c r="Z45" s="97">
        <f t="shared" si="11"/>
        <v>0</v>
      </c>
      <c r="AA45" s="114">
        <f t="shared" si="19"/>
        <v>0.10982404692082108</v>
      </c>
      <c r="AB45" s="114">
        <f t="shared" si="20"/>
        <v>0.15689149560117302</v>
      </c>
    </row>
    <row r="46" spans="1:28" ht="42.75" hidden="1" x14ac:dyDescent="0.2">
      <c r="A46" s="155" t="s">
        <v>236</v>
      </c>
      <c r="B46" s="72" t="str">
        <f t="shared" si="12"/>
        <v>Building Envelope - High Performance Glazing with Enhanced Air SealingLow Rise Rental Apartment</v>
      </c>
      <c r="C46" s="73" t="s">
        <v>102</v>
      </c>
      <c r="D46" s="74" t="s">
        <v>125</v>
      </c>
      <c r="E46" s="75">
        <v>0.01</v>
      </c>
      <c r="F46" s="75">
        <v>0.1</v>
      </c>
      <c r="G46" s="75">
        <v>0.01</v>
      </c>
      <c r="H46" s="75">
        <v>0.1</v>
      </c>
      <c r="I46" s="75">
        <f t="shared" si="13"/>
        <v>5.5E-2</v>
      </c>
      <c r="J46" s="109">
        <f>VLOOKUP(D46,'Existing Building EUI'!$B$7:$E$16,3,FALSE)</f>
        <v>234</v>
      </c>
      <c r="K46" s="109">
        <f>VLOOKUP(D46,'Existing Building EUI'!$B$7:$E$16,4,FALSE)</f>
        <v>107</v>
      </c>
      <c r="L46" s="109">
        <v>0</v>
      </c>
      <c r="M46" s="113">
        <v>0.01</v>
      </c>
      <c r="N46" s="75">
        <v>0.11</v>
      </c>
      <c r="O46" s="114">
        <v>0.01</v>
      </c>
      <c r="P46" s="114">
        <v>0.08</v>
      </c>
      <c r="Q46" s="75">
        <v>0</v>
      </c>
      <c r="R46" s="75">
        <v>0</v>
      </c>
      <c r="S46" s="75">
        <v>0</v>
      </c>
      <c r="T46" s="75">
        <v>0</v>
      </c>
      <c r="U46" s="97">
        <f t="shared" si="14"/>
        <v>231.66</v>
      </c>
      <c r="V46" s="97">
        <f t="shared" si="15"/>
        <v>208.26</v>
      </c>
      <c r="W46" s="97">
        <f t="shared" si="16"/>
        <v>105.93</v>
      </c>
      <c r="X46" s="97">
        <f t="shared" si="17"/>
        <v>98.44</v>
      </c>
      <c r="Y46" s="97">
        <f t="shared" si="18"/>
        <v>0</v>
      </c>
      <c r="Z46" s="97">
        <f t="shared" si="11"/>
        <v>0</v>
      </c>
      <c r="AA46" s="114">
        <f t="shared" si="19"/>
        <v>9.9999999999999065E-3</v>
      </c>
      <c r="AB46" s="114">
        <f t="shared" si="20"/>
        <v>0.10058651026392965</v>
      </c>
    </row>
    <row r="47" spans="1:28" ht="42.75" hidden="1" x14ac:dyDescent="0.2">
      <c r="A47" s="155" t="s">
        <v>236</v>
      </c>
      <c r="B47" s="72" t="str">
        <f t="shared" si="12"/>
        <v>Building Envelope - High Performance Glazing, Wall Insulation, &amp; Roof InsulationLow Rise Rental Apartment</v>
      </c>
      <c r="C47" s="73" t="s">
        <v>104</v>
      </c>
      <c r="D47" s="74" t="s">
        <v>125</v>
      </c>
      <c r="E47" s="75">
        <v>0.11</v>
      </c>
      <c r="F47" s="75">
        <v>0.2</v>
      </c>
      <c r="G47" s="75">
        <v>0.11</v>
      </c>
      <c r="H47" s="75">
        <v>0.2</v>
      </c>
      <c r="I47" s="75">
        <f t="shared" si="13"/>
        <v>0.155</v>
      </c>
      <c r="J47" s="109">
        <f>VLOOKUP(D47,'Existing Building EUI'!$B$7:$E$16,3,FALSE)</f>
        <v>234</v>
      </c>
      <c r="K47" s="109">
        <f>VLOOKUP(D47,'Existing Building EUI'!$B$7:$E$16,4,FALSE)</f>
        <v>107</v>
      </c>
      <c r="L47" s="109">
        <v>0</v>
      </c>
      <c r="M47" s="113">
        <v>0.12</v>
      </c>
      <c r="N47" s="75">
        <v>0.2</v>
      </c>
      <c r="O47" s="114">
        <v>0.08</v>
      </c>
      <c r="P47" s="114">
        <v>0.15</v>
      </c>
      <c r="Q47" s="75">
        <v>0</v>
      </c>
      <c r="R47" s="75">
        <v>0</v>
      </c>
      <c r="S47" s="75">
        <v>0</v>
      </c>
      <c r="T47" s="75">
        <v>0</v>
      </c>
      <c r="U47" s="97">
        <f t="shared" si="14"/>
        <v>205.92000000000002</v>
      </c>
      <c r="V47" s="97">
        <f t="shared" si="15"/>
        <v>187.2</v>
      </c>
      <c r="W47" s="97">
        <f t="shared" si="16"/>
        <v>98.44</v>
      </c>
      <c r="X47" s="97">
        <f t="shared" si="17"/>
        <v>90.95</v>
      </c>
      <c r="Y47" s="97">
        <f t="shared" si="18"/>
        <v>0</v>
      </c>
      <c r="Z47" s="97">
        <f t="shared" si="11"/>
        <v>0</v>
      </c>
      <c r="AA47" s="114">
        <f t="shared" si="19"/>
        <v>0.10744868035190612</v>
      </c>
      <c r="AB47" s="114">
        <f t="shared" si="20"/>
        <v>0.18431085043988277</v>
      </c>
    </row>
    <row r="48" spans="1:28" ht="42.75" x14ac:dyDescent="0.2">
      <c r="A48" s="155" t="s">
        <v>236</v>
      </c>
      <c r="B48" s="72" t="str">
        <f t="shared" si="12"/>
        <v>Domestic Hot Water - Heat Pump and Electric Resistance Water HeatersLow Rise Rental Apartment</v>
      </c>
      <c r="C48" s="110" t="s">
        <v>105</v>
      </c>
      <c r="D48" s="74" t="s">
        <v>125</v>
      </c>
      <c r="E48" s="75">
        <v>0.11</v>
      </c>
      <c r="F48" s="75">
        <v>0.2</v>
      </c>
      <c r="G48" s="75">
        <v>0.21</v>
      </c>
      <c r="H48" s="75">
        <v>0.3</v>
      </c>
      <c r="I48" s="75">
        <f t="shared" si="13"/>
        <v>0.255</v>
      </c>
      <c r="J48" s="109">
        <f>VLOOKUP(D48,'Existing Building EUI'!$B$7:$E$16,3,FALSE)</f>
        <v>234</v>
      </c>
      <c r="K48" s="109">
        <f>VLOOKUP(D48,'Existing Building EUI'!$B$7:$E$16,4,FALSE)</f>
        <v>107</v>
      </c>
      <c r="L48" s="109">
        <v>0</v>
      </c>
      <c r="M48" s="113">
        <v>0.22</v>
      </c>
      <c r="N48" s="75">
        <v>0.3</v>
      </c>
      <c r="O48" s="114">
        <v>0</v>
      </c>
      <c r="P48" s="114">
        <v>0</v>
      </c>
      <c r="Q48" s="75">
        <v>0</v>
      </c>
      <c r="R48" s="75">
        <v>0</v>
      </c>
      <c r="S48" s="98">
        <f>M48/-4</f>
        <v>-5.5E-2</v>
      </c>
      <c r="T48" s="98">
        <f>N48/-4</f>
        <v>-7.4999999999999997E-2</v>
      </c>
      <c r="U48" s="97">
        <f t="shared" si="14"/>
        <v>182.52</v>
      </c>
      <c r="V48" s="97">
        <f t="shared" si="15"/>
        <v>163.80000000000001</v>
      </c>
      <c r="W48" s="97">
        <f t="shared" si="16"/>
        <v>119.87</v>
      </c>
      <c r="X48" s="97">
        <f t="shared" si="17"/>
        <v>124.55</v>
      </c>
      <c r="Y48" s="97">
        <f t="shared" si="18"/>
        <v>0</v>
      </c>
      <c r="Z48" s="97">
        <f t="shared" si="11"/>
        <v>0</v>
      </c>
      <c r="AA48" s="114">
        <f t="shared" si="19"/>
        <v>0.11322580645161294</v>
      </c>
      <c r="AB48" s="114">
        <f t="shared" si="20"/>
        <v>0.15439882697947208</v>
      </c>
    </row>
    <row r="49" spans="1:28" ht="57" hidden="1" x14ac:dyDescent="0.2">
      <c r="A49" s="155" t="s">
        <v>236</v>
      </c>
      <c r="B49" s="72" t="str">
        <f t="shared" si="12"/>
        <v>Gas Appliances - Electric and Induction Ranges &amp; Heat Pump Electric DryersLow Rise Rental Apartment</v>
      </c>
      <c r="C49" s="73" t="s">
        <v>122</v>
      </c>
      <c r="D49" s="74" t="s">
        <v>125</v>
      </c>
      <c r="E49" s="75">
        <v>0.01</v>
      </c>
      <c r="F49" s="75">
        <v>0.1</v>
      </c>
      <c r="G49" s="75">
        <v>0.05</v>
      </c>
      <c r="H49" s="75">
        <v>0.2</v>
      </c>
      <c r="I49" s="75">
        <f t="shared" si="13"/>
        <v>0.125</v>
      </c>
      <c r="J49" s="109">
        <f>VLOOKUP(D49,'Existing Building EUI'!$B$7:$E$16,3,FALSE)</f>
        <v>234</v>
      </c>
      <c r="K49" s="109">
        <f>VLOOKUP(D49,'Existing Building EUI'!$B$7:$E$16,4,FALSE)</f>
        <v>107</v>
      </c>
      <c r="L49" s="109">
        <v>0</v>
      </c>
      <c r="M49" s="113">
        <v>0.02</v>
      </c>
      <c r="N49" s="75">
        <v>0.15</v>
      </c>
      <c r="O49" s="114">
        <v>0</v>
      </c>
      <c r="P49" s="114">
        <v>0</v>
      </c>
      <c r="Q49" s="75">
        <v>0</v>
      </c>
      <c r="R49" s="75">
        <v>0</v>
      </c>
      <c r="S49" s="98">
        <f>M49/-2</f>
        <v>-0.01</v>
      </c>
      <c r="T49" s="98">
        <f>N49/-2</f>
        <v>-7.4999999999999997E-2</v>
      </c>
      <c r="U49" s="97">
        <f t="shared" si="14"/>
        <v>229.32</v>
      </c>
      <c r="V49" s="97">
        <f t="shared" si="15"/>
        <v>198.9</v>
      </c>
      <c r="W49" s="97">
        <f t="shared" si="16"/>
        <v>109.34</v>
      </c>
      <c r="X49" s="97">
        <f t="shared" si="17"/>
        <v>124.55</v>
      </c>
      <c r="Y49" s="97">
        <f t="shared" si="18"/>
        <v>0</v>
      </c>
      <c r="Z49" s="97">
        <f t="shared" si="11"/>
        <v>0</v>
      </c>
      <c r="AA49" s="114">
        <f t="shared" si="19"/>
        <v>6.8621700879766328E-3</v>
      </c>
      <c r="AB49" s="114">
        <f t="shared" si="20"/>
        <v>5.1466275659824083E-2</v>
      </c>
    </row>
    <row r="50" spans="1:28" ht="57" hidden="1" x14ac:dyDescent="0.2">
      <c r="A50" s="155" t="s">
        <v>236</v>
      </c>
      <c r="B50" s="72" t="str">
        <f t="shared" si="12"/>
        <v>Heating, Cooling, Ventilation Systems - Air Source Heat Pumps + Energy Recovery VentilatorsLow Rise Rental Apartment</v>
      </c>
      <c r="C50" s="73" t="s">
        <v>126</v>
      </c>
      <c r="D50" s="74" t="s">
        <v>125</v>
      </c>
      <c r="E50" s="75">
        <v>0.21</v>
      </c>
      <c r="F50" s="75">
        <v>0.3</v>
      </c>
      <c r="G50" s="75">
        <v>0.31</v>
      </c>
      <c r="H50" s="75">
        <v>0.4</v>
      </c>
      <c r="I50" s="75">
        <f t="shared" si="13"/>
        <v>0.35499999999999998</v>
      </c>
      <c r="J50" s="109">
        <f>VLOOKUP(D50,'Existing Building EUI'!$B$7:$E$16,3,FALSE)</f>
        <v>234</v>
      </c>
      <c r="K50" s="109">
        <f>VLOOKUP(D50,'Existing Building EUI'!$B$7:$E$16,4,FALSE)</f>
        <v>107</v>
      </c>
      <c r="L50" s="109">
        <v>0</v>
      </c>
      <c r="M50" s="113">
        <v>0.7</v>
      </c>
      <c r="N50" s="75">
        <v>0.8</v>
      </c>
      <c r="O50" s="114">
        <v>0.08</v>
      </c>
      <c r="P50" s="114">
        <v>0.1</v>
      </c>
      <c r="Q50" s="75">
        <v>0</v>
      </c>
      <c r="R50" s="75">
        <v>0</v>
      </c>
      <c r="S50" s="98">
        <f>M50/-2</f>
        <v>-0.35</v>
      </c>
      <c r="T50" s="98">
        <f>N50/-2</f>
        <v>-0.4</v>
      </c>
      <c r="U50" s="97">
        <f t="shared" si="14"/>
        <v>70.200000000000017</v>
      </c>
      <c r="V50" s="97">
        <f t="shared" si="15"/>
        <v>46.799999999999983</v>
      </c>
      <c r="W50" s="97">
        <f t="shared" si="16"/>
        <v>180.33999999999997</v>
      </c>
      <c r="X50" s="97">
        <f t="shared" si="17"/>
        <v>189.9</v>
      </c>
      <c r="Y50" s="97">
        <f t="shared" si="18"/>
        <v>0</v>
      </c>
      <c r="Z50" s="97">
        <f t="shared" si="11"/>
        <v>0</v>
      </c>
      <c r="AA50" s="114">
        <f t="shared" si="19"/>
        <v>0.26527859237536661</v>
      </c>
      <c r="AB50" s="114">
        <f t="shared" si="20"/>
        <v>0.30586510263929623</v>
      </c>
    </row>
    <row r="51" spans="1:28" ht="57" hidden="1" x14ac:dyDescent="0.2">
      <c r="A51" s="155" t="s">
        <v>236</v>
      </c>
      <c r="B51" s="72" t="str">
        <f t="shared" si="12"/>
        <v>Heating, Cooling, Ventilation Systems - Low Carbon District Energy System + Energy Recovery VentilatorsLow Rise Rental Apartment</v>
      </c>
      <c r="C51" s="162" t="s">
        <v>277</v>
      </c>
      <c r="D51" s="74" t="s">
        <v>125</v>
      </c>
      <c r="E51" s="75">
        <v>0.21</v>
      </c>
      <c r="F51" s="75">
        <v>0.3</v>
      </c>
      <c r="G51" s="75">
        <v>0.31</v>
      </c>
      <c r="H51" s="75">
        <v>0.4</v>
      </c>
      <c r="I51" s="75">
        <f t="shared" si="13"/>
        <v>0.35499999999999998</v>
      </c>
      <c r="J51" s="109">
        <f>VLOOKUP(D51,'Existing Building EUI'!$B$7:$E$16,3,FALSE)</f>
        <v>234</v>
      </c>
      <c r="K51" s="109">
        <f>VLOOKUP(D51,'Existing Building EUI'!$B$7:$E$16,4,FALSE)</f>
        <v>107</v>
      </c>
      <c r="L51" s="109">
        <v>0</v>
      </c>
      <c r="M51" s="113">
        <v>0.7</v>
      </c>
      <c r="N51" s="75">
        <v>0.8</v>
      </c>
      <c r="O51" s="114">
        <v>0.08</v>
      </c>
      <c r="P51" s="114">
        <v>0.1</v>
      </c>
      <c r="Q51" s="75">
        <f>M51*-0.7</f>
        <v>-0.48999999999999994</v>
      </c>
      <c r="R51" s="75">
        <f>N51*-0.7</f>
        <v>-0.55999999999999994</v>
      </c>
      <c r="S51" s="75">
        <v>0</v>
      </c>
      <c r="T51" s="75">
        <v>0</v>
      </c>
      <c r="U51" s="97">
        <f t="shared" si="14"/>
        <v>70.200000000000017</v>
      </c>
      <c r="V51" s="97">
        <f t="shared" si="15"/>
        <v>46.799999999999983</v>
      </c>
      <c r="W51" s="97">
        <f t="shared" si="16"/>
        <v>98.44</v>
      </c>
      <c r="X51" s="97">
        <f t="shared" si="17"/>
        <v>96.3</v>
      </c>
      <c r="Y51" s="97">
        <f t="shared" si="18"/>
        <v>114.65999999999998</v>
      </c>
      <c r="Z51" s="97">
        <f>(R51*J51)*-1</f>
        <v>131.04</v>
      </c>
      <c r="AA51" s="114">
        <f t="shared" si="19"/>
        <v>0.16920821114369497</v>
      </c>
      <c r="AB51" s="114">
        <f t="shared" si="20"/>
        <v>0.19607038123167159</v>
      </c>
    </row>
    <row r="52" spans="1:28" ht="57" hidden="1" x14ac:dyDescent="0.2">
      <c r="A52" s="155" t="s">
        <v>236</v>
      </c>
      <c r="B52" s="72" t="str">
        <f t="shared" si="12"/>
        <v>Heating, Cooling, Ventilation Systems - Ground Source Heat Pumps + Energy Recovery VentilatorsLow Rise Rental Apartment</v>
      </c>
      <c r="C52" s="110" t="s">
        <v>127</v>
      </c>
      <c r="D52" s="74" t="s">
        <v>125</v>
      </c>
      <c r="E52" s="75">
        <v>0.21</v>
      </c>
      <c r="F52" s="75">
        <v>0.3</v>
      </c>
      <c r="G52" s="75">
        <v>0.31</v>
      </c>
      <c r="H52" s="75">
        <v>0.4</v>
      </c>
      <c r="I52" s="75">
        <f t="shared" si="13"/>
        <v>0.35499999999999998</v>
      </c>
      <c r="J52" s="109">
        <f>VLOOKUP(D52,'Existing Building EUI'!$B$7:$E$16,3,FALSE)</f>
        <v>234</v>
      </c>
      <c r="K52" s="109">
        <f>VLOOKUP(D52,'Existing Building EUI'!$B$7:$E$16,4,FALSE)</f>
        <v>107</v>
      </c>
      <c r="L52" s="109">
        <v>0</v>
      </c>
      <c r="M52" s="113">
        <v>0.7</v>
      </c>
      <c r="N52" s="75">
        <v>0.8</v>
      </c>
      <c r="O52" s="114">
        <v>0.08</v>
      </c>
      <c r="P52" s="114">
        <v>0.1</v>
      </c>
      <c r="Q52" s="75">
        <v>0</v>
      </c>
      <c r="R52" s="75">
        <v>0</v>
      </c>
      <c r="S52" s="98">
        <f>M52/-3</f>
        <v>-0.23333333333333331</v>
      </c>
      <c r="T52" s="98">
        <f>N52/-3</f>
        <v>-0.26666666666666666</v>
      </c>
      <c r="U52" s="97">
        <f t="shared" si="14"/>
        <v>70.200000000000017</v>
      </c>
      <c r="V52" s="97">
        <f t="shared" si="15"/>
        <v>46.799999999999983</v>
      </c>
      <c r="W52" s="97">
        <f t="shared" si="16"/>
        <v>153.04</v>
      </c>
      <c r="X52" s="97">
        <f t="shared" si="17"/>
        <v>158.69999999999999</v>
      </c>
      <c r="Y52" s="97">
        <f t="shared" si="18"/>
        <v>0</v>
      </c>
      <c r="Z52" s="97">
        <f t="shared" ref="Z52:Z59" si="21">R52*J52</f>
        <v>0</v>
      </c>
      <c r="AA52" s="114">
        <f t="shared" si="19"/>
        <v>0.34533724340175953</v>
      </c>
      <c r="AB52" s="114">
        <f t="shared" si="20"/>
        <v>0.39736070381231681</v>
      </c>
    </row>
    <row r="53" spans="1:28" ht="28.5" hidden="1" x14ac:dyDescent="0.2">
      <c r="A53" s="155" t="s">
        <v>236</v>
      </c>
      <c r="B53" s="72" t="str">
        <f t="shared" si="12"/>
        <v>Renewables - Solar PVLow Rise Rental Apartment</v>
      </c>
      <c r="C53" s="73" t="s">
        <v>111</v>
      </c>
      <c r="D53" s="74" t="s">
        <v>125</v>
      </c>
      <c r="E53" s="75">
        <v>0.01</v>
      </c>
      <c r="F53" s="75">
        <v>0.1</v>
      </c>
      <c r="G53" s="75">
        <v>0.01</v>
      </c>
      <c r="H53" s="75">
        <v>0.05</v>
      </c>
      <c r="I53" s="75">
        <f t="shared" si="13"/>
        <v>3.0000000000000002E-2</v>
      </c>
      <c r="J53" s="109">
        <f>VLOOKUP(D53,'Existing Building EUI'!$B$7:$E$16,3,FALSE)</f>
        <v>234</v>
      </c>
      <c r="K53" s="109">
        <f>VLOOKUP(D53,'Existing Building EUI'!$B$7:$E$16,4,FALSE)</f>
        <v>107</v>
      </c>
      <c r="L53" s="109">
        <v>0</v>
      </c>
      <c r="M53" s="113">
        <v>0</v>
      </c>
      <c r="N53" s="75">
        <v>0</v>
      </c>
      <c r="O53" s="114">
        <v>0.02</v>
      </c>
      <c r="P53" s="114">
        <v>0.3</v>
      </c>
      <c r="Q53" s="75">
        <v>0</v>
      </c>
      <c r="R53" s="75">
        <v>0</v>
      </c>
      <c r="S53" s="75">
        <v>0</v>
      </c>
      <c r="T53" s="75">
        <v>0</v>
      </c>
      <c r="U53" s="97">
        <f t="shared" si="14"/>
        <v>234</v>
      </c>
      <c r="V53" s="97">
        <f t="shared" si="15"/>
        <v>234</v>
      </c>
      <c r="W53" s="97">
        <f t="shared" si="16"/>
        <v>104.86</v>
      </c>
      <c r="X53" s="97">
        <f t="shared" si="17"/>
        <v>74.900000000000006</v>
      </c>
      <c r="Y53" s="97">
        <f t="shared" si="18"/>
        <v>0</v>
      </c>
      <c r="Z53" s="97">
        <f t="shared" si="21"/>
        <v>0</v>
      </c>
      <c r="AA53" s="114">
        <f t="shared" si="19"/>
        <v>6.2756598240468805E-3</v>
      </c>
      <c r="AB53" s="114">
        <f t="shared" si="20"/>
        <v>9.4134897360703879E-2</v>
      </c>
    </row>
    <row r="54" spans="1:28" ht="28.5" hidden="1" x14ac:dyDescent="0.2">
      <c r="A54" s="155" t="s">
        <v>236</v>
      </c>
      <c r="B54" s="72" t="str">
        <f t="shared" si="12"/>
        <v>Renewables - Solar ThermalLow Rise Rental Apartment</v>
      </c>
      <c r="C54" s="73" t="s">
        <v>112</v>
      </c>
      <c r="D54" s="74" t="s">
        <v>125</v>
      </c>
      <c r="E54" s="75">
        <v>0.01</v>
      </c>
      <c r="F54" s="75">
        <v>0.1</v>
      </c>
      <c r="G54" s="75">
        <v>0.01</v>
      </c>
      <c r="H54" s="75">
        <v>0.05</v>
      </c>
      <c r="I54" s="75">
        <f t="shared" si="13"/>
        <v>3.0000000000000002E-2</v>
      </c>
      <c r="J54" s="109">
        <f>VLOOKUP(D54,'Existing Building EUI'!$B$7:$E$16,3,FALSE)</f>
        <v>234</v>
      </c>
      <c r="K54" s="109">
        <f>VLOOKUP(D54,'Existing Building EUI'!$B$7:$E$16,4,FALSE)</f>
        <v>107</v>
      </c>
      <c r="L54" s="109">
        <v>0</v>
      </c>
      <c r="M54" s="113">
        <v>0.02</v>
      </c>
      <c r="N54" s="75">
        <v>0.1</v>
      </c>
      <c r="O54" s="114">
        <v>0</v>
      </c>
      <c r="P54" s="114">
        <v>0</v>
      </c>
      <c r="Q54" s="75">
        <v>0</v>
      </c>
      <c r="R54" s="75">
        <v>0</v>
      </c>
      <c r="S54" s="75">
        <v>0</v>
      </c>
      <c r="T54" s="75">
        <v>0</v>
      </c>
      <c r="U54" s="97">
        <f t="shared" si="14"/>
        <v>229.32</v>
      </c>
      <c r="V54" s="97">
        <f t="shared" si="15"/>
        <v>210.6</v>
      </c>
      <c r="W54" s="97">
        <f t="shared" si="16"/>
        <v>107</v>
      </c>
      <c r="X54" s="97">
        <f t="shared" si="17"/>
        <v>107</v>
      </c>
      <c r="Y54" s="97">
        <f t="shared" si="18"/>
        <v>0</v>
      </c>
      <c r="Z54" s="97">
        <f t="shared" si="21"/>
        <v>0</v>
      </c>
      <c r="AA54" s="114">
        <f t="shared" si="19"/>
        <v>1.3724340175953099E-2</v>
      </c>
      <c r="AB54" s="114">
        <f t="shared" si="20"/>
        <v>6.8621700879765324E-2</v>
      </c>
    </row>
    <row r="55" spans="1:28" ht="15" hidden="1" x14ac:dyDescent="0.2">
      <c r="A55" s="155" t="s">
        <v>236</v>
      </c>
      <c r="B55" s="72" t="str">
        <f t="shared" si="12"/>
        <v>Appliance UpgradesMid Rise Office</v>
      </c>
      <c r="C55" s="73" t="s">
        <v>109</v>
      </c>
      <c r="D55" s="74" t="s">
        <v>103</v>
      </c>
      <c r="E55" s="75">
        <v>0.01</v>
      </c>
      <c r="F55" s="75">
        <v>0.02</v>
      </c>
      <c r="G55" s="75">
        <v>0</v>
      </c>
      <c r="H55" s="75">
        <v>0.01</v>
      </c>
      <c r="I55" s="75">
        <f t="shared" si="13"/>
        <v>5.0000000000000001E-3</v>
      </c>
      <c r="J55" s="109">
        <f>VLOOKUP(D55,'Existing Building EUI'!$B$7:$E$16,3,FALSE)</f>
        <v>270</v>
      </c>
      <c r="K55" s="109">
        <f>VLOOKUP(D55,'Existing Building EUI'!$B$7:$E$16,4,FALSE)</f>
        <v>219</v>
      </c>
      <c r="L55" s="109">
        <v>0</v>
      </c>
      <c r="M55" s="113">
        <v>0</v>
      </c>
      <c r="N55" s="75">
        <v>0</v>
      </c>
      <c r="O55" s="114">
        <v>0.02</v>
      </c>
      <c r="P55" s="114">
        <v>0.04</v>
      </c>
      <c r="Q55" s="75">
        <v>0</v>
      </c>
      <c r="R55" s="75">
        <v>0</v>
      </c>
      <c r="S55" s="75">
        <v>0</v>
      </c>
      <c r="T55" s="75">
        <v>0</v>
      </c>
      <c r="U55" s="97">
        <f t="shared" si="14"/>
        <v>270</v>
      </c>
      <c r="V55" s="97">
        <f t="shared" si="15"/>
        <v>270</v>
      </c>
      <c r="W55" s="97">
        <f t="shared" si="16"/>
        <v>214.62</v>
      </c>
      <c r="X55" s="97">
        <f t="shared" si="17"/>
        <v>210.24</v>
      </c>
      <c r="Y55" s="97">
        <f t="shared" si="18"/>
        <v>0</v>
      </c>
      <c r="Z55" s="97">
        <f t="shared" si="21"/>
        <v>0</v>
      </c>
      <c r="AA55" s="114">
        <f t="shared" si="19"/>
        <v>8.9570552147239177E-3</v>
      </c>
      <c r="AB55" s="114">
        <f t="shared" si="20"/>
        <v>1.7914110429447835E-2</v>
      </c>
    </row>
    <row r="56" spans="1:28" ht="42.75" hidden="1" x14ac:dyDescent="0.2">
      <c r="A56" s="155" t="s">
        <v>236</v>
      </c>
      <c r="B56" s="72" t="str">
        <f t="shared" si="12"/>
        <v>Building Envelope - High Performance Glazing with Enhanced Air SealingMid Rise Office</v>
      </c>
      <c r="C56" s="73" t="s">
        <v>102</v>
      </c>
      <c r="D56" s="74" t="s">
        <v>103</v>
      </c>
      <c r="E56" s="75">
        <v>0.01</v>
      </c>
      <c r="F56" s="75">
        <v>0.1</v>
      </c>
      <c r="G56" s="75">
        <v>0.01</v>
      </c>
      <c r="H56" s="75">
        <v>0.1</v>
      </c>
      <c r="I56" s="75">
        <f t="shared" si="13"/>
        <v>5.5E-2</v>
      </c>
      <c r="J56" s="109">
        <f>VLOOKUP(D56,'Existing Building EUI'!$B$7:$E$16,3,FALSE)</f>
        <v>270</v>
      </c>
      <c r="K56" s="109">
        <f>VLOOKUP(D56,'Existing Building EUI'!$B$7:$E$16,4,FALSE)</f>
        <v>219</v>
      </c>
      <c r="L56" s="109">
        <v>0</v>
      </c>
      <c r="M56" s="113">
        <v>0.01</v>
      </c>
      <c r="N56" s="75">
        <v>0.11</v>
      </c>
      <c r="O56" s="113">
        <v>0.01</v>
      </c>
      <c r="P56" s="114">
        <v>0.08</v>
      </c>
      <c r="Q56" s="75">
        <v>0</v>
      </c>
      <c r="R56" s="75">
        <v>0</v>
      </c>
      <c r="S56" s="75">
        <v>0</v>
      </c>
      <c r="T56" s="75">
        <v>0</v>
      </c>
      <c r="U56" s="97">
        <f t="shared" si="14"/>
        <v>267.3</v>
      </c>
      <c r="V56" s="97">
        <f t="shared" si="15"/>
        <v>240.3</v>
      </c>
      <c r="W56" s="97">
        <f t="shared" si="16"/>
        <v>216.81</v>
      </c>
      <c r="X56" s="97">
        <f t="shared" si="17"/>
        <v>201.48</v>
      </c>
      <c r="Y56" s="97">
        <f t="shared" si="18"/>
        <v>0</v>
      </c>
      <c r="Z56" s="97">
        <f t="shared" si="21"/>
        <v>0</v>
      </c>
      <c r="AA56" s="114">
        <f t="shared" si="19"/>
        <v>9.9999999999999725E-3</v>
      </c>
      <c r="AB56" s="114">
        <f t="shared" si="20"/>
        <v>9.6564417177914169E-2</v>
      </c>
    </row>
    <row r="57" spans="1:28" ht="42.75" hidden="1" x14ac:dyDescent="0.2">
      <c r="A57" s="155" t="s">
        <v>236</v>
      </c>
      <c r="B57" s="72" t="str">
        <f t="shared" si="12"/>
        <v>Building Envelope - High Performance Glazing, Wall Insulation, &amp; Roof InsulationMid Rise Office</v>
      </c>
      <c r="C57" s="73" t="s">
        <v>104</v>
      </c>
      <c r="D57" s="74" t="s">
        <v>103</v>
      </c>
      <c r="E57" s="75">
        <v>0.01</v>
      </c>
      <c r="F57" s="75">
        <v>0.1</v>
      </c>
      <c r="G57" s="75">
        <v>0.01</v>
      </c>
      <c r="H57" s="75">
        <v>0.1</v>
      </c>
      <c r="I57" s="75">
        <f t="shared" si="13"/>
        <v>5.5E-2</v>
      </c>
      <c r="J57" s="109">
        <f>VLOOKUP(D57,'Existing Building EUI'!$B$7:$E$16,3,FALSE)</f>
        <v>270</v>
      </c>
      <c r="K57" s="109">
        <f>VLOOKUP(D57,'Existing Building EUI'!$B$7:$E$16,4,FALSE)</f>
        <v>219</v>
      </c>
      <c r="L57" s="109">
        <v>0</v>
      </c>
      <c r="M57" s="113">
        <v>0.14000000000000001</v>
      </c>
      <c r="N57" s="75">
        <v>0.2</v>
      </c>
      <c r="O57" s="114">
        <v>0.08</v>
      </c>
      <c r="P57" s="114">
        <v>0.15</v>
      </c>
      <c r="Q57" s="75">
        <v>0</v>
      </c>
      <c r="R57" s="75">
        <v>0</v>
      </c>
      <c r="S57" s="75">
        <v>0</v>
      </c>
      <c r="T57" s="75">
        <v>0</v>
      </c>
      <c r="U57" s="97">
        <f t="shared" si="14"/>
        <v>232.2</v>
      </c>
      <c r="V57" s="97">
        <f t="shared" si="15"/>
        <v>216</v>
      </c>
      <c r="W57" s="97">
        <f t="shared" si="16"/>
        <v>201.48</v>
      </c>
      <c r="X57" s="97">
        <f t="shared" si="17"/>
        <v>186.15</v>
      </c>
      <c r="Y57" s="97">
        <f t="shared" si="18"/>
        <v>0</v>
      </c>
      <c r="Z57" s="97">
        <f t="shared" si="21"/>
        <v>0</v>
      </c>
      <c r="AA57" s="114">
        <f t="shared" si="19"/>
        <v>0.11312883435582832</v>
      </c>
      <c r="AB57" s="114">
        <f t="shared" si="20"/>
        <v>0.17760736196319024</v>
      </c>
    </row>
    <row r="58" spans="1:28" ht="42.75" x14ac:dyDescent="0.2">
      <c r="A58" s="155" t="s">
        <v>236</v>
      </c>
      <c r="B58" s="72" t="str">
        <f t="shared" si="12"/>
        <v>Domestic Hot Water - Heat Pump and Electric Resistance Water HeatersMid Rise Office</v>
      </c>
      <c r="C58" s="73" t="s">
        <v>105</v>
      </c>
      <c r="D58" s="74" t="s">
        <v>103</v>
      </c>
      <c r="E58" s="75">
        <v>0.01</v>
      </c>
      <c r="F58" s="75">
        <v>0.04</v>
      </c>
      <c r="G58" s="75">
        <v>0.01</v>
      </c>
      <c r="H58" s="75">
        <v>0.1</v>
      </c>
      <c r="I58" s="75">
        <f t="shared" si="13"/>
        <v>5.5E-2</v>
      </c>
      <c r="J58" s="109">
        <f>VLOOKUP(D58,'Existing Building EUI'!$B$7:$E$16,3,FALSE)</f>
        <v>270</v>
      </c>
      <c r="K58" s="109">
        <f>VLOOKUP(D58,'Existing Building EUI'!$B$7:$E$16,4,FALSE)</f>
        <v>219</v>
      </c>
      <c r="L58" s="109">
        <v>0</v>
      </c>
      <c r="M58" s="113">
        <v>0.02</v>
      </c>
      <c r="N58" s="75">
        <v>0.1</v>
      </c>
      <c r="O58" s="114">
        <v>0</v>
      </c>
      <c r="P58" s="114">
        <v>0</v>
      </c>
      <c r="Q58" s="75">
        <v>0</v>
      </c>
      <c r="R58" s="75">
        <v>0</v>
      </c>
      <c r="S58" s="98">
        <f>M58/-4</f>
        <v>-5.0000000000000001E-3</v>
      </c>
      <c r="T58" s="98">
        <f>N58/-4</f>
        <v>-2.5000000000000001E-2</v>
      </c>
      <c r="U58" s="97">
        <f t="shared" si="14"/>
        <v>264.60000000000002</v>
      </c>
      <c r="V58" s="97">
        <f t="shared" si="15"/>
        <v>243</v>
      </c>
      <c r="W58" s="97">
        <f t="shared" si="16"/>
        <v>220.35</v>
      </c>
      <c r="X58" s="97">
        <f t="shared" si="17"/>
        <v>225.75</v>
      </c>
      <c r="Y58" s="97">
        <f t="shared" si="18"/>
        <v>0</v>
      </c>
      <c r="Z58" s="97">
        <f t="shared" si="21"/>
        <v>0</v>
      </c>
      <c r="AA58" s="114">
        <f t="shared" si="19"/>
        <v>8.2822085889569623E-3</v>
      </c>
      <c r="AB58" s="114">
        <f t="shared" si="20"/>
        <v>4.1411042944785273E-2</v>
      </c>
    </row>
    <row r="59" spans="1:28" ht="28.5" hidden="1" x14ac:dyDescent="0.2">
      <c r="A59" s="155" t="s">
        <v>236</v>
      </c>
      <c r="B59" s="72" t="str">
        <f t="shared" si="12"/>
        <v>Heating &amp; Cooling Systems - Air Source Heat PumpsMid Rise Office</v>
      </c>
      <c r="C59" s="73" t="s">
        <v>106</v>
      </c>
      <c r="D59" s="74" t="s">
        <v>103</v>
      </c>
      <c r="E59" s="75">
        <v>0.2</v>
      </c>
      <c r="F59" s="75">
        <v>0.3</v>
      </c>
      <c r="G59" s="75">
        <v>0.3</v>
      </c>
      <c r="H59" s="75">
        <v>0.75</v>
      </c>
      <c r="I59" s="75">
        <f t="shared" si="13"/>
        <v>0.52500000000000002</v>
      </c>
      <c r="J59" s="109">
        <f>VLOOKUP(D59,'Existing Building EUI'!$B$7:$E$16,3,FALSE)</f>
        <v>270</v>
      </c>
      <c r="K59" s="109">
        <f>VLOOKUP(D59,'Existing Building EUI'!$B$7:$E$16,4,FALSE)</f>
        <v>219</v>
      </c>
      <c r="L59" s="109">
        <v>0</v>
      </c>
      <c r="M59" s="113">
        <v>0.85</v>
      </c>
      <c r="N59" s="75">
        <v>0.95</v>
      </c>
      <c r="O59" s="114">
        <v>0.05</v>
      </c>
      <c r="P59" s="114">
        <v>0.1</v>
      </c>
      <c r="Q59" s="75">
        <v>0</v>
      </c>
      <c r="R59" s="75">
        <v>0</v>
      </c>
      <c r="S59" s="98">
        <f>M59/-2</f>
        <v>-0.42499999999999999</v>
      </c>
      <c r="T59" s="98">
        <f>N59/-2</f>
        <v>-0.47499999999999998</v>
      </c>
      <c r="U59" s="97">
        <f t="shared" si="14"/>
        <v>40.5</v>
      </c>
      <c r="V59" s="97">
        <f t="shared" si="15"/>
        <v>13.5</v>
      </c>
      <c r="W59" s="97">
        <f t="shared" si="16"/>
        <v>322.8</v>
      </c>
      <c r="X59" s="97">
        <f t="shared" si="17"/>
        <v>325.35000000000002</v>
      </c>
      <c r="Y59" s="97">
        <f t="shared" si="18"/>
        <v>0</v>
      </c>
      <c r="Z59" s="97">
        <f t="shared" si="21"/>
        <v>0</v>
      </c>
      <c r="AA59" s="114">
        <f t="shared" si="19"/>
        <v>0.25705521472392634</v>
      </c>
      <c r="AB59" s="114">
        <f t="shared" si="20"/>
        <v>0.30705521472392633</v>
      </c>
    </row>
    <row r="60" spans="1:28" ht="42.75" hidden="1" x14ac:dyDescent="0.2">
      <c r="A60" s="155" t="s">
        <v>236</v>
      </c>
      <c r="B60" s="72" t="str">
        <f t="shared" si="12"/>
        <v>Heating &amp; Cooling Systems - Low Carbon District Energy SystemMid Rise Office</v>
      </c>
      <c r="C60" s="162" t="s">
        <v>276</v>
      </c>
      <c r="D60" s="74" t="s">
        <v>103</v>
      </c>
      <c r="E60" s="75">
        <v>0.2</v>
      </c>
      <c r="F60" s="75">
        <v>0.3</v>
      </c>
      <c r="G60" s="75">
        <v>0.3</v>
      </c>
      <c r="H60" s="75">
        <v>0.75</v>
      </c>
      <c r="I60" s="75">
        <f t="shared" si="13"/>
        <v>0.52500000000000002</v>
      </c>
      <c r="J60" s="109">
        <f>VLOOKUP(D60,'Existing Building EUI'!$B$7:$E$16,3,FALSE)</f>
        <v>270</v>
      </c>
      <c r="K60" s="109">
        <f>VLOOKUP(D60,'Existing Building EUI'!$B$7:$E$16,4,FALSE)</f>
        <v>219</v>
      </c>
      <c r="L60" s="109">
        <v>0</v>
      </c>
      <c r="M60" s="113">
        <v>0.85</v>
      </c>
      <c r="N60" s="75">
        <v>0.95</v>
      </c>
      <c r="O60" s="114">
        <v>0.05</v>
      </c>
      <c r="P60" s="114">
        <v>0.1</v>
      </c>
      <c r="Q60" s="75">
        <f>M60*-0.7</f>
        <v>-0.59499999999999997</v>
      </c>
      <c r="R60" s="75">
        <f>N60*-0.7</f>
        <v>-0.66499999999999992</v>
      </c>
      <c r="S60" s="75">
        <v>0</v>
      </c>
      <c r="T60" s="75">
        <v>0</v>
      </c>
      <c r="U60" s="97">
        <f t="shared" si="14"/>
        <v>40.5</v>
      </c>
      <c r="V60" s="97">
        <f t="shared" si="15"/>
        <v>13.5</v>
      </c>
      <c r="W60" s="97">
        <f t="shared" si="16"/>
        <v>208.05</v>
      </c>
      <c r="X60" s="97">
        <f t="shared" si="17"/>
        <v>197.1</v>
      </c>
      <c r="Y60" s="97">
        <f t="shared" si="18"/>
        <v>160.65</v>
      </c>
      <c r="Z60" s="97">
        <f>(R60*J60)*-1</f>
        <v>179.54999999999998</v>
      </c>
      <c r="AA60" s="114">
        <f t="shared" si="19"/>
        <v>0.16319018404907967</v>
      </c>
      <c r="AB60" s="114">
        <f t="shared" si="20"/>
        <v>0.20214723926380374</v>
      </c>
    </row>
    <row r="61" spans="1:28" ht="28.5" hidden="1" x14ac:dyDescent="0.2">
      <c r="A61" s="155" t="s">
        <v>236</v>
      </c>
      <c r="B61" s="72" t="str">
        <f t="shared" si="12"/>
        <v>Heating &amp; Cooling Systems - Ground Source Heat PumpsMid Rise Office</v>
      </c>
      <c r="C61" s="73" t="s">
        <v>107</v>
      </c>
      <c r="D61" s="74" t="s">
        <v>103</v>
      </c>
      <c r="E61" s="75">
        <v>0.2</v>
      </c>
      <c r="F61" s="75">
        <v>0.3</v>
      </c>
      <c r="G61" s="75">
        <v>0.3</v>
      </c>
      <c r="H61" s="75">
        <v>0.75</v>
      </c>
      <c r="I61" s="75">
        <f t="shared" si="13"/>
        <v>0.52500000000000002</v>
      </c>
      <c r="J61" s="109">
        <f>VLOOKUP(D61,'Existing Building EUI'!$B$7:$E$16,3,FALSE)</f>
        <v>270</v>
      </c>
      <c r="K61" s="109">
        <f>VLOOKUP(D61,'Existing Building EUI'!$B$7:$E$16,4,FALSE)</f>
        <v>219</v>
      </c>
      <c r="L61" s="109">
        <v>0</v>
      </c>
      <c r="M61" s="113">
        <v>0.85</v>
      </c>
      <c r="N61" s="75">
        <v>0.95</v>
      </c>
      <c r="O61" s="114">
        <v>0.05</v>
      </c>
      <c r="P61" s="114">
        <v>0.1</v>
      </c>
      <c r="Q61" s="75">
        <v>0</v>
      </c>
      <c r="R61" s="75">
        <v>0</v>
      </c>
      <c r="S61" s="98">
        <f>M61/-3</f>
        <v>-0.28333333333333333</v>
      </c>
      <c r="T61" s="98">
        <f>N61/-3</f>
        <v>-0.31666666666666665</v>
      </c>
      <c r="U61" s="97">
        <f t="shared" si="14"/>
        <v>40.5</v>
      </c>
      <c r="V61" s="97">
        <f t="shared" si="15"/>
        <v>13.5</v>
      </c>
      <c r="W61" s="97">
        <f t="shared" si="16"/>
        <v>284.55</v>
      </c>
      <c r="X61" s="97">
        <f t="shared" si="17"/>
        <v>282.60000000000002</v>
      </c>
      <c r="Y61" s="97">
        <f t="shared" si="18"/>
        <v>0</v>
      </c>
      <c r="Z61" s="97">
        <f t="shared" ref="Z61:Z71" si="22">R61*J61</f>
        <v>0</v>
      </c>
      <c r="AA61" s="114">
        <f t="shared" si="19"/>
        <v>0.33527607361963185</v>
      </c>
      <c r="AB61" s="114">
        <f t="shared" si="20"/>
        <v>0.39447852760736191</v>
      </c>
    </row>
    <row r="62" spans="1:28" ht="28.5" hidden="1" x14ac:dyDescent="0.2">
      <c r="A62" s="155" t="s">
        <v>236</v>
      </c>
      <c r="B62" s="72" t="str">
        <f t="shared" si="12"/>
        <v>Lighting and Lighting ControlsMid Rise Office</v>
      </c>
      <c r="C62" s="73" t="s">
        <v>110</v>
      </c>
      <c r="D62" s="74" t="s">
        <v>103</v>
      </c>
      <c r="E62" s="75">
        <v>0.01</v>
      </c>
      <c r="F62" s="75">
        <v>0.1</v>
      </c>
      <c r="G62" s="75">
        <v>0.01</v>
      </c>
      <c r="H62" s="75">
        <v>0.1</v>
      </c>
      <c r="I62" s="75">
        <f t="shared" si="13"/>
        <v>5.5E-2</v>
      </c>
      <c r="J62" s="109">
        <f>VLOOKUP(D62,'Existing Building EUI'!$B$7:$E$16,3,FALSE)</f>
        <v>270</v>
      </c>
      <c r="K62" s="109">
        <f>VLOOKUP(D62,'Existing Building EUI'!$B$7:$E$16,4,FALSE)</f>
        <v>219</v>
      </c>
      <c r="L62" s="109">
        <v>0</v>
      </c>
      <c r="M62" s="113">
        <v>0</v>
      </c>
      <c r="N62" s="75">
        <v>0</v>
      </c>
      <c r="O62" s="114">
        <v>0.03</v>
      </c>
      <c r="P62" s="114">
        <v>0.22</v>
      </c>
      <c r="Q62" s="75">
        <v>0</v>
      </c>
      <c r="R62" s="75">
        <v>0</v>
      </c>
      <c r="S62" s="75">
        <v>0</v>
      </c>
      <c r="T62" s="75">
        <v>0</v>
      </c>
      <c r="U62" s="97">
        <f t="shared" si="14"/>
        <v>270</v>
      </c>
      <c r="V62" s="97">
        <f t="shared" si="15"/>
        <v>270</v>
      </c>
      <c r="W62" s="97">
        <f t="shared" si="16"/>
        <v>212.43</v>
      </c>
      <c r="X62" s="97">
        <f t="shared" si="17"/>
        <v>170.82</v>
      </c>
      <c r="Y62" s="97">
        <f t="shared" si="18"/>
        <v>0</v>
      </c>
      <c r="Z62" s="97">
        <f t="shared" si="22"/>
        <v>0</v>
      </c>
      <c r="AA62" s="114">
        <f t="shared" si="19"/>
        <v>1.3435582822085875E-2</v>
      </c>
      <c r="AB62" s="114">
        <f t="shared" si="20"/>
        <v>9.8527607361963199E-2</v>
      </c>
    </row>
    <row r="63" spans="1:28" ht="15" hidden="1" x14ac:dyDescent="0.2">
      <c r="A63" s="155" t="s">
        <v>236</v>
      </c>
      <c r="B63" s="72" t="str">
        <f t="shared" si="12"/>
        <v>Renewables - Solar PVMid Rise Office</v>
      </c>
      <c r="C63" s="73" t="s">
        <v>111</v>
      </c>
      <c r="D63" s="74" t="s">
        <v>103</v>
      </c>
      <c r="E63" s="75">
        <v>0.01</v>
      </c>
      <c r="F63" s="75">
        <v>0.1</v>
      </c>
      <c r="G63" s="75">
        <v>0.01</v>
      </c>
      <c r="H63" s="75">
        <v>0.05</v>
      </c>
      <c r="I63" s="75">
        <f t="shared" si="13"/>
        <v>3.0000000000000002E-2</v>
      </c>
      <c r="J63" s="109">
        <f>VLOOKUP(D63,'Existing Building EUI'!$B$7:$E$16,3,FALSE)</f>
        <v>270</v>
      </c>
      <c r="K63" s="109">
        <f>VLOOKUP(D63,'Existing Building EUI'!$B$7:$E$16,4,FALSE)</f>
        <v>219</v>
      </c>
      <c r="L63" s="109">
        <v>0</v>
      </c>
      <c r="M63" s="113">
        <v>0</v>
      </c>
      <c r="N63" s="75">
        <v>0</v>
      </c>
      <c r="O63" s="114">
        <v>0.02</v>
      </c>
      <c r="P63" s="114">
        <v>0.22</v>
      </c>
      <c r="Q63" s="75">
        <v>0</v>
      </c>
      <c r="R63" s="75">
        <v>0</v>
      </c>
      <c r="S63" s="75">
        <v>0</v>
      </c>
      <c r="T63" s="75">
        <v>0</v>
      </c>
      <c r="U63" s="97">
        <f t="shared" si="14"/>
        <v>270</v>
      </c>
      <c r="V63" s="97">
        <f t="shared" si="15"/>
        <v>270</v>
      </c>
      <c r="W63" s="97">
        <f t="shared" si="16"/>
        <v>214.62</v>
      </c>
      <c r="X63" s="97">
        <f t="shared" si="17"/>
        <v>170.82</v>
      </c>
      <c r="Y63" s="97">
        <f t="shared" si="18"/>
        <v>0</v>
      </c>
      <c r="Z63" s="97">
        <f t="shared" si="22"/>
        <v>0</v>
      </c>
      <c r="AA63" s="114">
        <f t="shared" si="19"/>
        <v>8.9570552147239177E-3</v>
      </c>
      <c r="AB63" s="114">
        <f t="shared" si="20"/>
        <v>9.8527607361963199E-2</v>
      </c>
    </row>
    <row r="64" spans="1:28" ht="28.5" hidden="1" x14ac:dyDescent="0.2">
      <c r="A64" s="155" t="s">
        <v>236</v>
      </c>
      <c r="B64" s="72" t="str">
        <f t="shared" si="12"/>
        <v>Renewables - Solar ThermalMid Rise Office</v>
      </c>
      <c r="C64" s="73" t="s">
        <v>112</v>
      </c>
      <c r="D64" s="74" t="s">
        <v>103</v>
      </c>
      <c r="E64" s="75">
        <v>0.01</v>
      </c>
      <c r="F64" s="75">
        <v>0.1</v>
      </c>
      <c r="G64" s="75">
        <v>0.01</v>
      </c>
      <c r="H64" s="75">
        <v>0.03</v>
      </c>
      <c r="I64" s="75">
        <f t="shared" si="13"/>
        <v>0.02</v>
      </c>
      <c r="J64" s="109">
        <f>VLOOKUP(D64,'Existing Building EUI'!$B$7:$E$16,3,FALSE)</f>
        <v>270</v>
      </c>
      <c r="K64" s="109">
        <f>VLOOKUP(D64,'Existing Building EUI'!$B$7:$E$16,4,FALSE)</f>
        <v>219</v>
      </c>
      <c r="L64" s="109">
        <v>0</v>
      </c>
      <c r="M64" s="113">
        <v>0.02</v>
      </c>
      <c r="N64" s="75">
        <v>0.1</v>
      </c>
      <c r="O64" s="114">
        <v>0</v>
      </c>
      <c r="P64" s="114">
        <v>0</v>
      </c>
      <c r="Q64" s="75">
        <v>0</v>
      </c>
      <c r="R64" s="75">
        <v>0</v>
      </c>
      <c r="S64" s="75">
        <v>0</v>
      </c>
      <c r="T64" s="75">
        <v>0</v>
      </c>
      <c r="U64" s="97">
        <f t="shared" si="14"/>
        <v>264.60000000000002</v>
      </c>
      <c r="V64" s="97">
        <f t="shared" si="15"/>
        <v>243</v>
      </c>
      <c r="W64" s="97">
        <f t="shared" si="16"/>
        <v>219</v>
      </c>
      <c r="X64" s="97">
        <f t="shared" si="17"/>
        <v>219</v>
      </c>
      <c r="Y64" s="97">
        <f t="shared" si="18"/>
        <v>0</v>
      </c>
      <c r="Z64" s="97">
        <f t="shared" si="22"/>
        <v>0</v>
      </c>
      <c r="AA64" s="114">
        <f t="shared" si="19"/>
        <v>1.1042944785276027E-2</v>
      </c>
      <c r="AB64" s="114">
        <f t="shared" si="20"/>
        <v>5.5214723926380369E-2</v>
      </c>
    </row>
    <row r="65" spans="1:28" ht="57" hidden="1" customHeight="1" x14ac:dyDescent="0.2">
      <c r="A65" s="155" t="s">
        <v>236</v>
      </c>
      <c r="B65" s="72" t="str">
        <f t="shared" si="12"/>
        <v>Ventilation Systems - Energy Recovery Ventilator (ERV)Mid Rise Office</v>
      </c>
      <c r="C65" s="73" t="s">
        <v>108</v>
      </c>
      <c r="D65" s="74" t="s">
        <v>103</v>
      </c>
      <c r="E65" s="75">
        <v>0.01</v>
      </c>
      <c r="F65" s="75">
        <v>0.05</v>
      </c>
      <c r="G65" s="75">
        <v>0.01</v>
      </c>
      <c r="H65" s="75">
        <v>0.1</v>
      </c>
      <c r="I65" s="75">
        <f t="shared" si="13"/>
        <v>5.5E-2</v>
      </c>
      <c r="J65" s="109">
        <f>VLOOKUP(D65,'Existing Building EUI'!$B$7:$E$16,3,FALSE)</f>
        <v>270</v>
      </c>
      <c r="K65" s="109">
        <f>VLOOKUP(D65,'Existing Building EUI'!$B$7:$E$16,4,FALSE)</f>
        <v>219</v>
      </c>
      <c r="L65" s="109">
        <v>0</v>
      </c>
      <c r="M65" s="75">
        <v>0.02</v>
      </c>
      <c r="N65" s="75">
        <v>0.1</v>
      </c>
      <c r="O65" s="75">
        <v>0.01</v>
      </c>
      <c r="P65" s="114">
        <v>0.05</v>
      </c>
      <c r="Q65" s="75">
        <v>0</v>
      </c>
      <c r="R65" s="75">
        <v>0</v>
      </c>
      <c r="S65" s="98">
        <v>0</v>
      </c>
      <c r="T65" s="98">
        <v>0</v>
      </c>
      <c r="U65" s="97">
        <f t="shared" si="14"/>
        <v>264.60000000000002</v>
      </c>
      <c r="V65" s="97">
        <f t="shared" si="15"/>
        <v>243</v>
      </c>
      <c r="W65" s="97">
        <f t="shared" si="16"/>
        <v>216.81</v>
      </c>
      <c r="X65" s="97">
        <f t="shared" si="17"/>
        <v>208.05</v>
      </c>
      <c r="Y65" s="97">
        <f t="shared" si="18"/>
        <v>0</v>
      </c>
      <c r="Z65" s="97">
        <f t="shared" si="22"/>
        <v>0</v>
      </c>
      <c r="AA65" s="114">
        <f t="shared" si="19"/>
        <v>1.5521472392637986E-2</v>
      </c>
      <c r="AB65" s="114">
        <f t="shared" si="20"/>
        <v>7.7607361963190166E-2</v>
      </c>
    </row>
    <row r="66" spans="1:28" ht="15" hidden="1" x14ac:dyDescent="0.2">
      <c r="A66" s="155" t="s">
        <v>236</v>
      </c>
      <c r="B66" s="72" t="str">
        <f t="shared" si="12"/>
        <v>Appliance UpgradesMixed Use</v>
      </c>
      <c r="C66" s="73" t="s">
        <v>109</v>
      </c>
      <c r="D66" s="74" t="s">
        <v>120</v>
      </c>
      <c r="E66" s="75">
        <v>0.01</v>
      </c>
      <c r="F66" s="75">
        <v>0.1</v>
      </c>
      <c r="G66" s="75">
        <v>0.01</v>
      </c>
      <c r="H66" s="75">
        <v>0.1</v>
      </c>
      <c r="I66" s="75">
        <f t="shared" si="13"/>
        <v>5.5E-2</v>
      </c>
      <c r="J66" s="109">
        <f>VLOOKUP(D66,'Existing Building EUI'!$B$7:$E$16,3,FALSE)</f>
        <v>268</v>
      </c>
      <c r="K66" s="109">
        <f>VLOOKUP(D66,'Existing Building EUI'!$B$7:$E$16,4,FALSE)</f>
        <v>322</v>
      </c>
      <c r="L66" s="109">
        <v>0</v>
      </c>
      <c r="M66" s="113">
        <v>0</v>
      </c>
      <c r="N66" s="75">
        <v>0</v>
      </c>
      <c r="O66" s="114">
        <v>0.02</v>
      </c>
      <c r="P66" s="114">
        <v>0.18</v>
      </c>
      <c r="Q66" s="75">
        <v>0</v>
      </c>
      <c r="R66" s="75">
        <v>0</v>
      </c>
      <c r="S66" s="75">
        <v>0</v>
      </c>
      <c r="T66" s="75">
        <v>0</v>
      </c>
      <c r="U66" s="97">
        <f t="shared" si="14"/>
        <v>268</v>
      </c>
      <c r="V66" s="97">
        <f t="shared" si="15"/>
        <v>268</v>
      </c>
      <c r="W66" s="97">
        <f t="shared" si="16"/>
        <v>315.56</v>
      </c>
      <c r="X66" s="97">
        <f t="shared" si="17"/>
        <v>264.04000000000002</v>
      </c>
      <c r="Y66" s="97">
        <f t="shared" si="18"/>
        <v>0</v>
      </c>
      <c r="Z66" s="97">
        <f t="shared" si="22"/>
        <v>0</v>
      </c>
      <c r="AA66" s="114">
        <f t="shared" si="19"/>
        <v>1.0915254237288228E-2</v>
      </c>
      <c r="AB66" s="114">
        <f t="shared" si="20"/>
        <v>9.8237288135593279E-2</v>
      </c>
    </row>
    <row r="67" spans="1:28" ht="57" hidden="1" customHeight="1" x14ac:dyDescent="0.2">
      <c r="A67" s="155" t="s">
        <v>236</v>
      </c>
      <c r="B67" s="72" t="str">
        <f t="shared" si="12"/>
        <v>Building Envelope - High Performance Envelope (Recladding, Air Sealing, New Insulation) Mixed Use</v>
      </c>
      <c r="C67" s="73" t="s">
        <v>119</v>
      </c>
      <c r="D67" s="74" t="s">
        <v>120</v>
      </c>
      <c r="E67" s="75">
        <v>0.11</v>
      </c>
      <c r="F67" s="75">
        <v>0.2</v>
      </c>
      <c r="G67" s="75">
        <v>0.11</v>
      </c>
      <c r="H67" s="75">
        <v>0.2</v>
      </c>
      <c r="I67" s="75">
        <f t="shared" si="13"/>
        <v>0.155</v>
      </c>
      <c r="J67" s="109">
        <f>VLOOKUP(D67,'Existing Building EUI'!$B$7:$E$16,3,FALSE)</f>
        <v>268</v>
      </c>
      <c r="K67" s="109">
        <f>VLOOKUP(D67,'Existing Building EUI'!$B$7:$E$16,4,FALSE)</f>
        <v>322</v>
      </c>
      <c r="L67" s="109">
        <v>0</v>
      </c>
      <c r="M67" s="113">
        <v>0.14000000000000001</v>
      </c>
      <c r="N67" s="75">
        <v>0.2</v>
      </c>
      <c r="O67" s="114">
        <v>0.08</v>
      </c>
      <c r="P67" s="114">
        <v>0.15</v>
      </c>
      <c r="Q67" s="75">
        <v>0</v>
      </c>
      <c r="R67" s="75">
        <v>0</v>
      </c>
      <c r="S67" s="75">
        <v>0</v>
      </c>
      <c r="T67" s="75">
        <v>0</v>
      </c>
      <c r="U67" s="97">
        <f t="shared" si="14"/>
        <v>230.48</v>
      </c>
      <c r="V67" s="97">
        <f t="shared" si="15"/>
        <v>214.4</v>
      </c>
      <c r="W67" s="97">
        <f t="shared" si="16"/>
        <v>296.24</v>
      </c>
      <c r="X67" s="97">
        <f t="shared" si="17"/>
        <v>273.7</v>
      </c>
      <c r="Y67" s="97">
        <f t="shared" si="18"/>
        <v>0</v>
      </c>
      <c r="Z67" s="97">
        <f t="shared" si="22"/>
        <v>0</v>
      </c>
      <c r="AA67" s="114">
        <f t="shared" si="19"/>
        <v>0.10725423728813555</v>
      </c>
      <c r="AB67" s="114">
        <f t="shared" si="20"/>
        <v>0.17271186440677963</v>
      </c>
    </row>
    <row r="68" spans="1:28" ht="57" hidden="1" customHeight="1" x14ac:dyDescent="0.2">
      <c r="A68" s="155" t="s">
        <v>236</v>
      </c>
      <c r="B68" s="72" t="str">
        <f t="shared" si="12"/>
        <v>Building Envelope - High Performance Glazing with Enhanced Air SealingMixed Use</v>
      </c>
      <c r="C68" s="73" t="s">
        <v>102</v>
      </c>
      <c r="D68" s="74" t="s">
        <v>120</v>
      </c>
      <c r="E68" s="75">
        <v>0.01</v>
      </c>
      <c r="F68" s="75">
        <v>0.1</v>
      </c>
      <c r="G68" s="75">
        <v>0.01</v>
      </c>
      <c r="H68" s="75">
        <v>0.1</v>
      </c>
      <c r="I68" s="75">
        <f t="shared" si="13"/>
        <v>5.5E-2</v>
      </c>
      <c r="J68" s="109">
        <f>VLOOKUP(D68,'Existing Building EUI'!$B$7:$E$16,3,FALSE)</f>
        <v>268</v>
      </c>
      <c r="K68" s="109">
        <f>VLOOKUP(D68,'Existing Building EUI'!$B$7:$E$16,4,FALSE)</f>
        <v>322</v>
      </c>
      <c r="L68" s="109">
        <v>0</v>
      </c>
      <c r="M68" s="113">
        <v>0.01</v>
      </c>
      <c r="N68" s="75">
        <v>0.12</v>
      </c>
      <c r="O68" s="113">
        <v>0.01</v>
      </c>
      <c r="P68" s="114">
        <v>0.08</v>
      </c>
      <c r="Q68" s="75">
        <v>0</v>
      </c>
      <c r="R68" s="75">
        <v>0</v>
      </c>
      <c r="S68" s="75">
        <v>0</v>
      </c>
      <c r="T68" s="75">
        <v>0</v>
      </c>
      <c r="U68" s="97">
        <f t="shared" si="14"/>
        <v>265.32</v>
      </c>
      <c r="V68" s="97">
        <f t="shared" si="15"/>
        <v>235.84</v>
      </c>
      <c r="W68" s="97">
        <f t="shared" si="16"/>
        <v>318.77999999999997</v>
      </c>
      <c r="X68" s="97">
        <f t="shared" si="17"/>
        <v>296.24</v>
      </c>
      <c r="Y68" s="97">
        <f t="shared" si="18"/>
        <v>0</v>
      </c>
      <c r="Z68" s="97">
        <f t="shared" si="22"/>
        <v>0</v>
      </c>
      <c r="AA68" s="114">
        <f t="shared" si="19"/>
        <v>1.0000000000000155E-2</v>
      </c>
      <c r="AB68" s="114">
        <f t="shared" si="20"/>
        <v>9.8169491525423661E-2</v>
      </c>
    </row>
    <row r="69" spans="1:28" ht="42.75" x14ac:dyDescent="0.2">
      <c r="A69" s="155" t="s">
        <v>236</v>
      </c>
      <c r="B69" s="72" t="str">
        <f t="shared" si="12"/>
        <v>Domestic Hot Water - Heat Pump and Electric Resistance Water HeatersMixed Use</v>
      </c>
      <c r="C69" s="73" t="s">
        <v>105</v>
      </c>
      <c r="D69" s="74" t="s">
        <v>120</v>
      </c>
      <c r="E69" s="75">
        <v>0.11</v>
      </c>
      <c r="F69" s="75">
        <v>0.2</v>
      </c>
      <c r="G69" s="75">
        <v>0.21</v>
      </c>
      <c r="H69" s="75">
        <v>0.3</v>
      </c>
      <c r="I69" s="75">
        <f t="shared" si="13"/>
        <v>0.255</v>
      </c>
      <c r="J69" s="109">
        <f>VLOOKUP(D69,'Existing Building EUI'!$B$7:$E$16,3,FALSE)</f>
        <v>268</v>
      </c>
      <c r="K69" s="109">
        <f>VLOOKUP(D69,'Existing Building EUI'!$B$7:$E$16,4,FALSE)</f>
        <v>322</v>
      </c>
      <c r="L69" s="109">
        <v>0</v>
      </c>
      <c r="M69" s="113">
        <v>0.2</v>
      </c>
      <c r="N69" s="75">
        <v>0.4</v>
      </c>
      <c r="O69" s="114">
        <v>0</v>
      </c>
      <c r="P69" s="114">
        <v>0</v>
      </c>
      <c r="Q69" s="75">
        <v>0</v>
      </c>
      <c r="R69" s="75">
        <v>0</v>
      </c>
      <c r="S69" s="98">
        <f>M69/-4</f>
        <v>-0.05</v>
      </c>
      <c r="T69" s="98">
        <f>N69/-4</f>
        <v>-0.1</v>
      </c>
      <c r="U69" s="97">
        <f t="shared" si="14"/>
        <v>214.4</v>
      </c>
      <c r="V69" s="97">
        <f t="shared" si="15"/>
        <v>160.80000000000001</v>
      </c>
      <c r="W69" s="97">
        <f t="shared" si="16"/>
        <v>335.4</v>
      </c>
      <c r="X69" s="97">
        <f t="shared" si="17"/>
        <v>348.8</v>
      </c>
      <c r="Y69" s="97">
        <f t="shared" si="18"/>
        <v>0</v>
      </c>
      <c r="Z69" s="97">
        <f t="shared" si="22"/>
        <v>0</v>
      </c>
      <c r="AA69" s="114">
        <f t="shared" si="19"/>
        <v>6.8135593220339061E-2</v>
      </c>
      <c r="AB69" s="114">
        <f t="shared" si="20"/>
        <v>0.13627118644067793</v>
      </c>
    </row>
    <row r="70" spans="1:28" ht="42.75" hidden="1" x14ac:dyDescent="0.2">
      <c r="A70" s="155" t="s">
        <v>236</v>
      </c>
      <c r="B70" s="72" t="str">
        <f t="shared" ref="B70:B101" si="23">C70&amp;D70</f>
        <v>Gas Appliances - Electric and Induction Ranges &amp; Heat Pump Electric DryersMixed Use</v>
      </c>
      <c r="C70" s="73" t="s">
        <v>122</v>
      </c>
      <c r="D70" s="74" t="s">
        <v>120</v>
      </c>
      <c r="E70" s="75">
        <v>0.01</v>
      </c>
      <c r="F70" s="75">
        <v>0.1</v>
      </c>
      <c r="G70" s="75">
        <v>0.05</v>
      </c>
      <c r="H70" s="75">
        <v>0.25</v>
      </c>
      <c r="I70" s="75">
        <f t="shared" ref="I70:I101" si="24">AVERAGE(G70:H70)</f>
        <v>0.15</v>
      </c>
      <c r="J70" s="109">
        <f>VLOOKUP(D70,'Existing Building EUI'!$B$7:$E$16,3,FALSE)</f>
        <v>268</v>
      </c>
      <c r="K70" s="109">
        <f>VLOOKUP(D70,'Existing Building EUI'!$B$7:$E$16,4,FALSE)</f>
        <v>322</v>
      </c>
      <c r="L70" s="109">
        <v>0</v>
      </c>
      <c r="M70" s="113">
        <v>0.01</v>
      </c>
      <c r="N70" s="75">
        <v>0.15</v>
      </c>
      <c r="O70" s="114">
        <v>0</v>
      </c>
      <c r="P70" s="114">
        <v>0</v>
      </c>
      <c r="Q70" s="75">
        <v>0</v>
      </c>
      <c r="R70" s="75">
        <v>0</v>
      </c>
      <c r="S70" s="98">
        <f>M70/-2</f>
        <v>-5.0000000000000001E-3</v>
      </c>
      <c r="T70" s="98">
        <f>N70/-2</f>
        <v>-7.4999999999999997E-2</v>
      </c>
      <c r="U70" s="97">
        <f t="shared" ref="U70:U101" si="25">J70-(J70*M70)</f>
        <v>265.32</v>
      </c>
      <c r="V70" s="97">
        <f t="shared" ref="V70:V101" si="26">J70-(J70*N70)</f>
        <v>227.8</v>
      </c>
      <c r="W70" s="97">
        <f t="shared" ref="W70:W101" si="27">K70-((K70*O70)+(J70*S70))</f>
        <v>323.33999999999997</v>
      </c>
      <c r="X70" s="97">
        <f t="shared" ref="X70:X101" si="28">K70-((K70*P70)+(J70*T70))</f>
        <v>342.1</v>
      </c>
      <c r="Y70" s="97">
        <f t="shared" ref="Y70:Y101" si="29">(Q70*J70)*-1</f>
        <v>0</v>
      </c>
      <c r="Z70" s="97">
        <f t="shared" si="22"/>
        <v>0</v>
      </c>
      <c r="AA70" s="114">
        <f t="shared" ref="AA70:AA101" si="30">(SUM(U70,W70,Y70)-SUM(J70:K70))/SUM(J70:K70)*-1</f>
        <v>2.2711864406780202E-3</v>
      </c>
      <c r="AB70" s="114">
        <f t="shared" ref="AB70:AB101" si="31">(SUM(V70,X70,Z70)-SUM(J70:K70))/SUM(J70:K70)*-1</f>
        <v>3.4067796610169336E-2</v>
      </c>
    </row>
    <row r="71" spans="1:28" ht="57" hidden="1" customHeight="1" x14ac:dyDescent="0.2">
      <c r="A71" s="155" t="s">
        <v>236</v>
      </c>
      <c r="B71" s="72" t="str">
        <f t="shared" si="23"/>
        <v>Heating &amp; Cooling Systems - Air Source Heat PumpsMixed Use</v>
      </c>
      <c r="C71" s="73" t="s">
        <v>106</v>
      </c>
      <c r="D71" s="74" t="s">
        <v>120</v>
      </c>
      <c r="E71" s="75">
        <v>0.21</v>
      </c>
      <c r="F71" s="75">
        <v>0.3</v>
      </c>
      <c r="G71" s="75">
        <v>0.2</v>
      </c>
      <c r="H71" s="75">
        <v>0.4</v>
      </c>
      <c r="I71" s="75">
        <f t="shared" si="24"/>
        <v>0.30000000000000004</v>
      </c>
      <c r="J71" s="109">
        <f>VLOOKUP(D71,'Existing Building EUI'!$B$7:$E$16,3,FALSE)</f>
        <v>268</v>
      </c>
      <c r="K71" s="109">
        <f>VLOOKUP(D71,'Existing Building EUI'!$B$7:$E$16,4,FALSE)</f>
        <v>322</v>
      </c>
      <c r="L71" s="109">
        <v>0</v>
      </c>
      <c r="M71" s="113">
        <v>0.7</v>
      </c>
      <c r="N71" s="75">
        <v>0.8</v>
      </c>
      <c r="O71" s="114">
        <v>0.08</v>
      </c>
      <c r="P71" s="114">
        <v>0.1</v>
      </c>
      <c r="Q71" s="75">
        <v>0</v>
      </c>
      <c r="R71" s="75">
        <v>0</v>
      </c>
      <c r="S71" s="98">
        <f>M71/-2</f>
        <v>-0.35</v>
      </c>
      <c r="T71" s="98">
        <f>N71/-2</f>
        <v>-0.4</v>
      </c>
      <c r="U71" s="97">
        <f t="shared" si="25"/>
        <v>80.400000000000006</v>
      </c>
      <c r="V71" s="97">
        <f t="shared" si="26"/>
        <v>53.599999999999994</v>
      </c>
      <c r="W71" s="97">
        <f t="shared" si="27"/>
        <v>390.03999999999996</v>
      </c>
      <c r="X71" s="97">
        <f t="shared" si="28"/>
        <v>397</v>
      </c>
      <c r="Y71" s="97">
        <f t="shared" si="29"/>
        <v>0</v>
      </c>
      <c r="Z71" s="97">
        <f t="shared" si="22"/>
        <v>0</v>
      </c>
      <c r="AA71" s="114">
        <f t="shared" si="30"/>
        <v>0.20264406779661026</v>
      </c>
      <c r="AB71" s="114">
        <f t="shared" si="31"/>
        <v>0.23627118644067793</v>
      </c>
    </row>
    <row r="72" spans="1:28" ht="57" hidden="1" customHeight="1" x14ac:dyDescent="0.2">
      <c r="A72" s="155" t="s">
        <v>236</v>
      </c>
      <c r="B72" s="72" t="str">
        <f t="shared" si="23"/>
        <v>Heating &amp; Cooling Systems - Low Carbon District Energy SystemMixed Use</v>
      </c>
      <c r="C72" s="162" t="s">
        <v>276</v>
      </c>
      <c r="D72" s="74" t="s">
        <v>120</v>
      </c>
      <c r="E72" s="75">
        <v>0.21</v>
      </c>
      <c r="F72" s="75">
        <v>0.3</v>
      </c>
      <c r="G72" s="75">
        <v>0.2</v>
      </c>
      <c r="H72" s="75">
        <v>0.4</v>
      </c>
      <c r="I72" s="75">
        <f t="shared" si="24"/>
        <v>0.30000000000000004</v>
      </c>
      <c r="J72" s="109">
        <f>VLOOKUP(D72,'Existing Building EUI'!$B$7:$E$16,3,FALSE)</f>
        <v>268</v>
      </c>
      <c r="K72" s="109">
        <f>VLOOKUP(D72,'Existing Building EUI'!$B$7:$E$16,4,FALSE)</f>
        <v>322</v>
      </c>
      <c r="L72" s="109">
        <v>0</v>
      </c>
      <c r="M72" s="113">
        <v>0.7</v>
      </c>
      <c r="N72" s="75">
        <v>0.8</v>
      </c>
      <c r="O72" s="114">
        <v>0.08</v>
      </c>
      <c r="P72" s="114">
        <v>0.1</v>
      </c>
      <c r="Q72" s="75">
        <f>M72*-0.7</f>
        <v>-0.48999999999999994</v>
      </c>
      <c r="R72" s="75">
        <f>N72*-0.7</f>
        <v>-0.55999999999999994</v>
      </c>
      <c r="S72" s="75">
        <v>0</v>
      </c>
      <c r="T72" s="75">
        <v>0</v>
      </c>
      <c r="U72" s="97">
        <f t="shared" si="25"/>
        <v>80.400000000000006</v>
      </c>
      <c r="V72" s="97">
        <f t="shared" si="26"/>
        <v>53.599999999999994</v>
      </c>
      <c r="W72" s="97">
        <f t="shared" si="27"/>
        <v>296.24</v>
      </c>
      <c r="X72" s="97">
        <f t="shared" si="28"/>
        <v>289.8</v>
      </c>
      <c r="Y72" s="97">
        <f t="shared" si="29"/>
        <v>131.32</v>
      </c>
      <c r="Z72" s="97">
        <f>(R72*J72)*-1</f>
        <v>150.07999999999998</v>
      </c>
      <c r="AA72" s="114">
        <f t="shared" si="30"/>
        <v>0.13905084745762716</v>
      </c>
      <c r="AB72" s="114">
        <f t="shared" si="31"/>
        <v>0.1635932203389831</v>
      </c>
    </row>
    <row r="73" spans="1:28" ht="28.5" hidden="1" x14ac:dyDescent="0.2">
      <c r="A73" s="155" t="s">
        <v>236</v>
      </c>
      <c r="B73" s="72" t="str">
        <f t="shared" si="23"/>
        <v>Heating &amp; Cooling Systems - Ground Source Heat PumpsMixed Use</v>
      </c>
      <c r="C73" s="73" t="s">
        <v>107</v>
      </c>
      <c r="D73" s="74" t="s">
        <v>120</v>
      </c>
      <c r="E73" s="75">
        <v>0.21</v>
      </c>
      <c r="F73" s="75">
        <v>0.3</v>
      </c>
      <c r="G73" s="75">
        <v>0.2</v>
      </c>
      <c r="H73" s="75">
        <v>0.4</v>
      </c>
      <c r="I73" s="75">
        <f t="shared" si="24"/>
        <v>0.30000000000000004</v>
      </c>
      <c r="J73" s="109">
        <f>VLOOKUP(D73,'Existing Building EUI'!$B$7:$E$16,3,FALSE)</f>
        <v>268</v>
      </c>
      <c r="K73" s="109">
        <f>VLOOKUP(D73,'Existing Building EUI'!$B$7:$E$16,4,FALSE)</f>
        <v>322</v>
      </c>
      <c r="L73" s="109">
        <v>0</v>
      </c>
      <c r="M73" s="113">
        <v>0.7</v>
      </c>
      <c r="N73" s="75">
        <v>0.8</v>
      </c>
      <c r="O73" s="114">
        <v>0.08</v>
      </c>
      <c r="P73" s="114">
        <v>0.1</v>
      </c>
      <c r="Q73" s="75">
        <v>0</v>
      </c>
      <c r="R73" s="75">
        <v>0</v>
      </c>
      <c r="S73" s="98">
        <f>M73/-3</f>
        <v>-0.23333333333333331</v>
      </c>
      <c r="T73" s="98">
        <f>N73/-3</f>
        <v>-0.26666666666666666</v>
      </c>
      <c r="U73" s="97">
        <f t="shared" si="25"/>
        <v>80.400000000000006</v>
      </c>
      <c r="V73" s="97">
        <f t="shared" si="26"/>
        <v>53.599999999999994</v>
      </c>
      <c r="W73" s="97">
        <f t="shared" si="27"/>
        <v>358.77333333333331</v>
      </c>
      <c r="X73" s="97">
        <f t="shared" si="28"/>
        <v>361.26666666666665</v>
      </c>
      <c r="Y73" s="97">
        <f t="shared" si="29"/>
        <v>0</v>
      </c>
      <c r="Z73" s="97">
        <f t="shared" ref="Z73:Z108" si="32">R73*J73</f>
        <v>0</v>
      </c>
      <c r="AA73" s="114">
        <f t="shared" si="30"/>
        <v>0.2556384180790961</v>
      </c>
      <c r="AB73" s="114">
        <f t="shared" si="31"/>
        <v>0.29683615819209036</v>
      </c>
    </row>
    <row r="74" spans="1:28" ht="28.5" hidden="1" x14ac:dyDescent="0.2">
      <c r="A74" s="155" t="s">
        <v>236</v>
      </c>
      <c r="B74" s="72" t="str">
        <f t="shared" si="23"/>
        <v>Lighting and Lighting ControlsMixed Use</v>
      </c>
      <c r="C74" s="73" t="s">
        <v>110</v>
      </c>
      <c r="D74" s="74" t="s">
        <v>120</v>
      </c>
      <c r="E74" s="75">
        <v>0.01</v>
      </c>
      <c r="F74" s="75">
        <v>0.1</v>
      </c>
      <c r="G74" s="75">
        <v>0.01</v>
      </c>
      <c r="H74" s="75">
        <v>0.1</v>
      </c>
      <c r="I74" s="75">
        <f t="shared" si="24"/>
        <v>5.5E-2</v>
      </c>
      <c r="J74" s="109">
        <f>VLOOKUP(D74,'Existing Building EUI'!$B$7:$E$16,3,FALSE)</f>
        <v>268</v>
      </c>
      <c r="K74" s="109">
        <f>VLOOKUP(D74,'Existing Building EUI'!$B$7:$E$16,4,FALSE)</f>
        <v>322</v>
      </c>
      <c r="L74" s="109">
        <v>0</v>
      </c>
      <c r="M74" s="113">
        <v>0</v>
      </c>
      <c r="N74" s="75">
        <v>0</v>
      </c>
      <c r="O74" s="114">
        <v>0.01</v>
      </c>
      <c r="P74" s="114">
        <v>0.18</v>
      </c>
      <c r="Q74" s="75">
        <v>0</v>
      </c>
      <c r="R74" s="75">
        <v>0</v>
      </c>
      <c r="S74" s="75">
        <v>0</v>
      </c>
      <c r="T74" s="75">
        <v>0</v>
      </c>
      <c r="U74" s="97">
        <f t="shared" si="25"/>
        <v>268</v>
      </c>
      <c r="V74" s="97">
        <f t="shared" si="26"/>
        <v>268</v>
      </c>
      <c r="W74" s="97">
        <f t="shared" si="27"/>
        <v>318.77999999999997</v>
      </c>
      <c r="X74" s="97">
        <f t="shared" si="28"/>
        <v>264.04000000000002</v>
      </c>
      <c r="Y74" s="97">
        <f t="shared" si="29"/>
        <v>0</v>
      </c>
      <c r="Z74" s="97">
        <f t="shared" si="32"/>
        <v>0</v>
      </c>
      <c r="AA74" s="114">
        <f t="shared" si="30"/>
        <v>5.4576271186441141E-3</v>
      </c>
      <c r="AB74" s="114">
        <f t="shared" si="31"/>
        <v>9.8237288135593279E-2</v>
      </c>
    </row>
    <row r="75" spans="1:28" ht="15" hidden="1" x14ac:dyDescent="0.2">
      <c r="A75" s="155" t="s">
        <v>236</v>
      </c>
      <c r="B75" s="72" t="str">
        <f t="shared" si="23"/>
        <v>Renewables - Solar PVMixed Use</v>
      </c>
      <c r="C75" s="73" t="s">
        <v>111</v>
      </c>
      <c r="D75" s="74" t="s">
        <v>120</v>
      </c>
      <c r="E75" s="75">
        <v>0.01</v>
      </c>
      <c r="F75" s="75">
        <v>0.1</v>
      </c>
      <c r="G75" s="75">
        <v>0.01</v>
      </c>
      <c r="H75" s="75">
        <v>0.05</v>
      </c>
      <c r="I75" s="75">
        <f t="shared" si="24"/>
        <v>3.0000000000000002E-2</v>
      </c>
      <c r="J75" s="109">
        <f>VLOOKUP(D75,'Existing Building EUI'!$B$7:$E$16,3,FALSE)</f>
        <v>268</v>
      </c>
      <c r="K75" s="109">
        <f>VLOOKUP(D75,'Existing Building EUI'!$B$7:$E$16,4,FALSE)</f>
        <v>322</v>
      </c>
      <c r="L75" s="109">
        <v>0</v>
      </c>
      <c r="M75" s="113">
        <v>0</v>
      </c>
      <c r="N75" s="75">
        <v>0</v>
      </c>
      <c r="O75" s="114">
        <v>0.02</v>
      </c>
      <c r="P75" s="114">
        <v>0.18</v>
      </c>
      <c r="Q75" s="75">
        <v>0</v>
      </c>
      <c r="R75" s="75">
        <v>0</v>
      </c>
      <c r="S75" s="75">
        <v>0</v>
      </c>
      <c r="T75" s="75">
        <v>0</v>
      </c>
      <c r="U75" s="97">
        <f t="shared" si="25"/>
        <v>268</v>
      </c>
      <c r="V75" s="97">
        <f t="shared" si="26"/>
        <v>268</v>
      </c>
      <c r="W75" s="97">
        <f t="shared" si="27"/>
        <v>315.56</v>
      </c>
      <c r="X75" s="97">
        <f t="shared" si="28"/>
        <v>264.04000000000002</v>
      </c>
      <c r="Y75" s="97">
        <f t="shared" si="29"/>
        <v>0</v>
      </c>
      <c r="Z75" s="97">
        <f t="shared" si="32"/>
        <v>0</v>
      </c>
      <c r="AA75" s="114">
        <f t="shared" si="30"/>
        <v>1.0915254237288228E-2</v>
      </c>
      <c r="AB75" s="114">
        <f t="shared" si="31"/>
        <v>9.8237288135593279E-2</v>
      </c>
    </row>
    <row r="76" spans="1:28" ht="57" hidden="1" customHeight="1" x14ac:dyDescent="0.2">
      <c r="A76" s="155" t="s">
        <v>236</v>
      </c>
      <c r="B76" s="72" t="str">
        <f t="shared" si="23"/>
        <v>Renewables - Solar ThermalMixed Use</v>
      </c>
      <c r="C76" s="73" t="s">
        <v>112</v>
      </c>
      <c r="D76" s="74" t="s">
        <v>120</v>
      </c>
      <c r="E76" s="75">
        <v>0.01</v>
      </c>
      <c r="F76" s="75">
        <v>0.1</v>
      </c>
      <c r="G76" s="75">
        <v>0.01</v>
      </c>
      <c r="H76" s="75">
        <v>0.05</v>
      </c>
      <c r="I76" s="75">
        <f t="shared" si="24"/>
        <v>3.0000000000000002E-2</v>
      </c>
      <c r="J76" s="109">
        <f>VLOOKUP(D76,'Existing Building EUI'!$B$7:$E$16,3,FALSE)</f>
        <v>268</v>
      </c>
      <c r="K76" s="109">
        <f>VLOOKUP(D76,'Existing Building EUI'!$B$7:$E$16,4,FALSE)</f>
        <v>322</v>
      </c>
      <c r="L76" s="109">
        <v>0</v>
      </c>
      <c r="M76" s="113">
        <v>0.02</v>
      </c>
      <c r="N76" s="75">
        <v>0.1</v>
      </c>
      <c r="O76" s="114">
        <v>0</v>
      </c>
      <c r="P76" s="114">
        <v>0</v>
      </c>
      <c r="Q76" s="75">
        <v>0</v>
      </c>
      <c r="R76" s="75">
        <v>0</v>
      </c>
      <c r="S76" s="75">
        <v>0</v>
      </c>
      <c r="T76" s="75">
        <v>0</v>
      </c>
      <c r="U76" s="97">
        <f t="shared" si="25"/>
        <v>262.64</v>
      </c>
      <c r="V76" s="97">
        <f t="shared" si="26"/>
        <v>241.2</v>
      </c>
      <c r="W76" s="97">
        <f t="shared" si="27"/>
        <v>322</v>
      </c>
      <c r="X76" s="97">
        <f t="shared" si="28"/>
        <v>322</v>
      </c>
      <c r="Y76" s="97">
        <f t="shared" si="29"/>
        <v>0</v>
      </c>
      <c r="Z76" s="97">
        <f t="shared" si="32"/>
        <v>0</v>
      </c>
      <c r="AA76" s="114">
        <f t="shared" si="30"/>
        <v>9.0847457627118867E-3</v>
      </c>
      <c r="AB76" s="114">
        <f t="shared" si="31"/>
        <v>4.5423728813559244E-2</v>
      </c>
    </row>
    <row r="77" spans="1:28" ht="57" hidden="1" customHeight="1" x14ac:dyDescent="0.2">
      <c r="A77" s="155" t="s">
        <v>236</v>
      </c>
      <c r="B77" s="72" t="str">
        <f t="shared" si="23"/>
        <v>Ventilation System - Energy Recovery Ventilators (ERV)Mixed Use</v>
      </c>
      <c r="C77" s="73" t="s">
        <v>121</v>
      </c>
      <c r="D77" s="74" t="s">
        <v>120</v>
      </c>
      <c r="E77" s="75">
        <v>0.01</v>
      </c>
      <c r="F77" s="75">
        <v>0.1</v>
      </c>
      <c r="G77" s="75">
        <v>0.01</v>
      </c>
      <c r="H77" s="75">
        <v>0.1</v>
      </c>
      <c r="I77" s="75">
        <f t="shared" si="24"/>
        <v>5.5E-2</v>
      </c>
      <c r="J77" s="109">
        <f>VLOOKUP(D77,'Existing Building EUI'!$B$7:$E$16,3,FALSE)</f>
        <v>268</v>
      </c>
      <c r="K77" s="109">
        <f>VLOOKUP(D77,'Existing Building EUI'!$B$7:$E$16,4,FALSE)</f>
        <v>322</v>
      </c>
      <c r="L77" s="109">
        <v>0</v>
      </c>
      <c r="M77" s="113">
        <v>0.01</v>
      </c>
      <c r="N77" s="75">
        <v>0.05</v>
      </c>
      <c r="O77" s="114">
        <v>0.01</v>
      </c>
      <c r="P77" s="114">
        <v>0.05</v>
      </c>
      <c r="Q77" s="75">
        <v>0</v>
      </c>
      <c r="R77" s="75">
        <v>0</v>
      </c>
      <c r="S77" s="98">
        <v>0</v>
      </c>
      <c r="T77" s="98">
        <v>0</v>
      </c>
      <c r="U77" s="97">
        <f t="shared" si="25"/>
        <v>265.32</v>
      </c>
      <c r="V77" s="97">
        <f t="shared" si="26"/>
        <v>254.6</v>
      </c>
      <c r="W77" s="97">
        <f t="shared" si="27"/>
        <v>318.77999999999997</v>
      </c>
      <c r="X77" s="97">
        <f t="shared" si="28"/>
        <v>305.89999999999998</v>
      </c>
      <c r="Y77" s="97">
        <f t="shared" si="29"/>
        <v>0</v>
      </c>
      <c r="Z77" s="97">
        <f t="shared" si="32"/>
        <v>0</v>
      </c>
      <c r="AA77" s="114">
        <f t="shared" si="30"/>
        <v>1.0000000000000155E-2</v>
      </c>
      <c r="AB77" s="114">
        <f t="shared" si="31"/>
        <v>0.05</v>
      </c>
    </row>
    <row r="78" spans="1:28" ht="57" hidden="1" customHeight="1" x14ac:dyDescent="0.2">
      <c r="A78" s="155" t="s">
        <v>236</v>
      </c>
      <c r="B78" s="72" t="str">
        <f t="shared" si="23"/>
        <v>Appliance Upgrades &amp; Lighting and Lighting ControlsSingle Family Home Attached</v>
      </c>
      <c r="C78" s="73" t="s">
        <v>124</v>
      </c>
      <c r="D78" s="74" t="s">
        <v>128</v>
      </c>
      <c r="E78" s="75">
        <v>0.11</v>
      </c>
      <c r="F78" s="75">
        <v>0.2</v>
      </c>
      <c r="G78" s="75">
        <v>0.01</v>
      </c>
      <c r="H78" s="75">
        <v>0.1</v>
      </c>
      <c r="I78" s="75">
        <f t="shared" si="24"/>
        <v>5.5E-2</v>
      </c>
      <c r="J78" s="109">
        <f>VLOOKUP(D78,'Existing Building EUI'!$B$7:$E$16,3,FALSE)</f>
        <v>147</v>
      </c>
      <c r="K78" s="109">
        <f>VLOOKUP(D78,'Existing Building EUI'!$B$7:$E$16,4,FALSE)</f>
        <v>43</v>
      </c>
      <c r="L78" s="109">
        <v>0</v>
      </c>
      <c r="M78" s="113">
        <v>0</v>
      </c>
      <c r="N78" s="75">
        <v>0</v>
      </c>
      <c r="O78" s="114">
        <v>0.5</v>
      </c>
      <c r="P78" s="114">
        <v>0.7</v>
      </c>
      <c r="Q78" s="75">
        <v>0</v>
      </c>
      <c r="R78" s="75">
        <v>0</v>
      </c>
      <c r="S78" s="75">
        <v>0</v>
      </c>
      <c r="T78" s="75">
        <v>0</v>
      </c>
      <c r="U78" s="97">
        <f t="shared" si="25"/>
        <v>147</v>
      </c>
      <c r="V78" s="97">
        <f t="shared" si="26"/>
        <v>147</v>
      </c>
      <c r="W78" s="97">
        <f t="shared" si="27"/>
        <v>21.5</v>
      </c>
      <c r="X78" s="97">
        <f t="shared" si="28"/>
        <v>12.900000000000002</v>
      </c>
      <c r="Y78" s="97">
        <f t="shared" si="29"/>
        <v>0</v>
      </c>
      <c r="Z78" s="97">
        <f t="shared" si="32"/>
        <v>0</v>
      </c>
      <c r="AA78" s="114">
        <f t="shared" si="30"/>
        <v>0.11315789473684211</v>
      </c>
      <c r="AB78" s="114">
        <f t="shared" si="31"/>
        <v>0.15842105263157891</v>
      </c>
    </row>
    <row r="79" spans="1:28" ht="57" hidden="1" customHeight="1" x14ac:dyDescent="0.2">
      <c r="A79" s="155" t="s">
        <v>236</v>
      </c>
      <c r="B79" s="72" t="str">
        <f t="shared" si="23"/>
        <v>Building Envelope - High Performance Glazing with Enhanced Air SealingSingle Family Home Attached</v>
      </c>
      <c r="C79" s="110" t="s">
        <v>102</v>
      </c>
      <c r="D79" s="74" t="s">
        <v>128</v>
      </c>
      <c r="E79" s="75">
        <v>0.01</v>
      </c>
      <c r="F79" s="75">
        <v>0.1</v>
      </c>
      <c r="G79" s="75">
        <v>0.01</v>
      </c>
      <c r="H79" s="75">
        <v>0.1</v>
      </c>
      <c r="I79" s="75">
        <f t="shared" si="24"/>
        <v>5.5E-2</v>
      </c>
      <c r="J79" s="109">
        <f>VLOOKUP(D79,'Existing Building EUI'!$B$7:$E$16,3,FALSE)</f>
        <v>147</v>
      </c>
      <c r="K79" s="109">
        <f>VLOOKUP(D79,'Existing Building EUI'!$B$7:$E$16,4,FALSE)</f>
        <v>43</v>
      </c>
      <c r="L79" s="109">
        <v>0</v>
      </c>
      <c r="M79" s="113">
        <v>0.01</v>
      </c>
      <c r="N79" s="75">
        <v>0.11</v>
      </c>
      <c r="O79" s="113">
        <v>0.01</v>
      </c>
      <c r="P79" s="114">
        <v>0.08</v>
      </c>
      <c r="Q79" s="75">
        <v>0</v>
      </c>
      <c r="R79" s="75">
        <v>0</v>
      </c>
      <c r="S79" s="75">
        <v>0</v>
      </c>
      <c r="T79" s="75">
        <v>0</v>
      </c>
      <c r="U79" s="97">
        <f t="shared" si="25"/>
        <v>145.53</v>
      </c>
      <c r="V79" s="97">
        <f t="shared" si="26"/>
        <v>130.82999999999998</v>
      </c>
      <c r="W79" s="97">
        <f t="shared" si="27"/>
        <v>42.57</v>
      </c>
      <c r="X79" s="97">
        <f t="shared" si="28"/>
        <v>39.56</v>
      </c>
      <c r="Y79" s="97">
        <f t="shared" si="29"/>
        <v>0</v>
      </c>
      <c r="Z79" s="97">
        <f t="shared" si="32"/>
        <v>0</v>
      </c>
      <c r="AA79" s="114">
        <f t="shared" si="30"/>
        <v>1.000000000000003E-2</v>
      </c>
      <c r="AB79" s="114">
        <f t="shared" si="31"/>
        <v>0.10321052631578954</v>
      </c>
    </row>
    <row r="80" spans="1:28" ht="42.75" hidden="1" x14ac:dyDescent="0.2">
      <c r="A80" s="155" t="s">
        <v>236</v>
      </c>
      <c r="B80" s="72" t="str">
        <f t="shared" si="23"/>
        <v>Building Envelope - High Performance Glazing, Wall Insulation, &amp; Roof InsulationSingle Family Home Attached</v>
      </c>
      <c r="C80" s="110" t="s">
        <v>104</v>
      </c>
      <c r="D80" s="74" t="s">
        <v>128</v>
      </c>
      <c r="E80" s="75">
        <v>0.11</v>
      </c>
      <c r="F80" s="75">
        <v>0.2</v>
      </c>
      <c r="G80" s="75">
        <v>0.11</v>
      </c>
      <c r="H80" s="75">
        <v>0.2</v>
      </c>
      <c r="I80" s="75">
        <f t="shared" si="24"/>
        <v>0.155</v>
      </c>
      <c r="J80" s="109">
        <f>VLOOKUP(D80,'Existing Building EUI'!$B$7:$E$16,3,FALSE)</f>
        <v>147</v>
      </c>
      <c r="K80" s="109">
        <f>VLOOKUP(D80,'Existing Building EUI'!$B$7:$E$16,4,FALSE)</f>
        <v>43</v>
      </c>
      <c r="L80" s="109">
        <v>0</v>
      </c>
      <c r="M80" s="113">
        <v>0.12</v>
      </c>
      <c r="N80" s="75">
        <v>0.2</v>
      </c>
      <c r="O80" s="114">
        <v>0.08</v>
      </c>
      <c r="P80" s="114">
        <v>0.15</v>
      </c>
      <c r="Q80" s="75">
        <v>0</v>
      </c>
      <c r="R80" s="75">
        <v>0</v>
      </c>
      <c r="S80" s="75">
        <v>0</v>
      </c>
      <c r="T80" s="75">
        <v>0</v>
      </c>
      <c r="U80" s="97">
        <f t="shared" si="25"/>
        <v>129.36000000000001</v>
      </c>
      <c r="V80" s="97">
        <f t="shared" si="26"/>
        <v>117.6</v>
      </c>
      <c r="W80" s="97">
        <f t="shared" si="27"/>
        <v>39.56</v>
      </c>
      <c r="X80" s="97">
        <f t="shared" si="28"/>
        <v>36.549999999999997</v>
      </c>
      <c r="Y80" s="97">
        <f t="shared" si="29"/>
        <v>0</v>
      </c>
      <c r="Z80" s="97">
        <f t="shared" si="32"/>
        <v>0</v>
      </c>
      <c r="AA80" s="114">
        <f t="shared" si="30"/>
        <v>0.11094736842105254</v>
      </c>
      <c r="AB80" s="114">
        <f t="shared" si="31"/>
        <v>0.1886842105263159</v>
      </c>
    </row>
    <row r="81" spans="1:28" ht="28.5" x14ac:dyDescent="0.2">
      <c r="A81" s="155" t="s">
        <v>236</v>
      </c>
      <c r="B81" s="72" t="str">
        <f t="shared" si="23"/>
        <v>Domestic Hot Water - Electric Water HeaterSingle Family Home Attached</v>
      </c>
      <c r="C81" s="110" t="s">
        <v>115</v>
      </c>
      <c r="D81" s="74" t="s">
        <v>128</v>
      </c>
      <c r="E81" s="75">
        <v>0.11</v>
      </c>
      <c r="F81" s="75">
        <v>0.2</v>
      </c>
      <c r="G81" s="75">
        <v>0.11</v>
      </c>
      <c r="H81" s="75">
        <v>0.2</v>
      </c>
      <c r="I81" s="75">
        <f t="shared" si="24"/>
        <v>0.155</v>
      </c>
      <c r="J81" s="109">
        <f>VLOOKUP(D81,'Existing Building EUI'!$B$7:$E$16,3,FALSE)</f>
        <v>147</v>
      </c>
      <c r="K81" s="109">
        <f>VLOOKUP(D81,'Existing Building EUI'!$B$7:$E$16,4,FALSE)</f>
        <v>43</v>
      </c>
      <c r="L81" s="109">
        <v>0</v>
      </c>
      <c r="M81" s="113">
        <v>0.2</v>
      </c>
      <c r="N81" s="75">
        <v>0.3</v>
      </c>
      <c r="O81" s="114">
        <v>0</v>
      </c>
      <c r="P81" s="114">
        <v>0</v>
      </c>
      <c r="Q81" s="75">
        <v>0</v>
      </c>
      <c r="R81" s="75">
        <v>0</v>
      </c>
      <c r="S81" s="98">
        <f>M81/-4</f>
        <v>-0.05</v>
      </c>
      <c r="T81" s="98">
        <f>N81/-4</f>
        <v>-7.4999999999999997E-2</v>
      </c>
      <c r="U81" s="97">
        <f t="shared" si="25"/>
        <v>117.6</v>
      </c>
      <c r="V81" s="97">
        <f t="shared" si="26"/>
        <v>102.9</v>
      </c>
      <c r="W81" s="97">
        <f t="shared" si="27"/>
        <v>50.35</v>
      </c>
      <c r="X81" s="97">
        <f t="shared" si="28"/>
        <v>54.024999999999999</v>
      </c>
      <c r="Y81" s="97">
        <f t="shared" si="29"/>
        <v>0</v>
      </c>
      <c r="Z81" s="97">
        <f t="shared" si="32"/>
        <v>0</v>
      </c>
      <c r="AA81" s="114">
        <f t="shared" si="30"/>
        <v>0.11605263157894743</v>
      </c>
      <c r="AB81" s="114">
        <f t="shared" si="31"/>
        <v>0.174078947368421</v>
      </c>
    </row>
    <row r="82" spans="1:28" ht="57" hidden="1" x14ac:dyDescent="0.2">
      <c r="A82" s="155" t="s">
        <v>236</v>
      </c>
      <c r="B82" s="72" t="str">
        <f t="shared" si="23"/>
        <v>Gas Appliances - Electric and Induction Ranges &amp; Heat Pump Electric DryersSingle Family Home Attached</v>
      </c>
      <c r="C82" s="73" t="s">
        <v>122</v>
      </c>
      <c r="D82" s="74" t="s">
        <v>128</v>
      </c>
      <c r="E82" s="75">
        <v>0.01</v>
      </c>
      <c r="F82" s="75">
        <v>0.1</v>
      </c>
      <c r="G82" s="75">
        <v>0.05</v>
      </c>
      <c r="H82" s="75">
        <v>0.2</v>
      </c>
      <c r="I82" s="75">
        <f t="shared" si="24"/>
        <v>0.125</v>
      </c>
      <c r="J82" s="109">
        <f>VLOOKUP(D82,'Existing Building EUI'!$B$7:$E$16,3,FALSE)</f>
        <v>147</v>
      </c>
      <c r="K82" s="109">
        <f>VLOOKUP(D82,'Existing Building EUI'!$B$7:$E$16,4,FALSE)</f>
        <v>43</v>
      </c>
      <c r="L82" s="109">
        <v>0</v>
      </c>
      <c r="M82" s="113">
        <v>0.02</v>
      </c>
      <c r="N82" s="75">
        <v>0.15</v>
      </c>
      <c r="O82" s="114">
        <v>0</v>
      </c>
      <c r="P82" s="114">
        <v>0</v>
      </c>
      <c r="Q82" s="75">
        <v>0</v>
      </c>
      <c r="R82" s="75">
        <v>0</v>
      </c>
      <c r="S82" s="98">
        <f>M82/-2</f>
        <v>-0.01</v>
      </c>
      <c r="T82" s="98">
        <f>N82/-2</f>
        <v>-7.4999999999999997E-2</v>
      </c>
      <c r="U82" s="97">
        <f t="shared" si="25"/>
        <v>144.06</v>
      </c>
      <c r="V82" s="97">
        <f t="shared" si="26"/>
        <v>124.95</v>
      </c>
      <c r="W82" s="97">
        <f t="shared" si="27"/>
        <v>44.47</v>
      </c>
      <c r="X82" s="97">
        <f t="shared" si="28"/>
        <v>54.024999999999999</v>
      </c>
      <c r="Y82" s="97">
        <f t="shared" si="29"/>
        <v>0</v>
      </c>
      <c r="Z82" s="97">
        <f t="shared" si="32"/>
        <v>0</v>
      </c>
      <c r="AA82" s="114">
        <f t="shared" si="30"/>
        <v>7.7368421052631522E-3</v>
      </c>
      <c r="AB82" s="114">
        <f t="shared" si="31"/>
        <v>5.8026315789473717E-2</v>
      </c>
    </row>
    <row r="83" spans="1:28" ht="57" hidden="1" customHeight="1" x14ac:dyDescent="0.2">
      <c r="A83" s="155" t="s">
        <v>236</v>
      </c>
      <c r="B83" s="72" t="str">
        <f t="shared" si="23"/>
        <v>Heating &amp; Cooling Systems - Air Source Heat PumpsSingle Family Home Attached</v>
      </c>
      <c r="C83" s="73" t="s">
        <v>106</v>
      </c>
      <c r="D83" s="74" t="s">
        <v>128</v>
      </c>
      <c r="E83" s="75">
        <v>0.01</v>
      </c>
      <c r="F83" s="75">
        <v>0.45</v>
      </c>
      <c r="G83" s="75">
        <v>0.01</v>
      </c>
      <c r="H83" s="75">
        <v>0.45</v>
      </c>
      <c r="I83" s="75">
        <f t="shared" si="24"/>
        <v>0.23</v>
      </c>
      <c r="J83" s="109">
        <f>VLOOKUP(D83,'Existing Building EUI'!$B$7:$E$16,3,FALSE)</f>
        <v>147</v>
      </c>
      <c r="K83" s="109">
        <f>VLOOKUP(D83,'Existing Building EUI'!$B$7:$E$16,4,FALSE)</f>
        <v>43</v>
      </c>
      <c r="L83" s="109">
        <v>0</v>
      </c>
      <c r="M83" s="113">
        <v>0.6</v>
      </c>
      <c r="N83" s="75">
        <v>0.8</v>
      </c>
      <c r="O83" s="114">
        <v>0.01</v>
      </c>
      <c r="P83" s="114">
        <v>0.05</v>
      </c>
      <c r="Q83" s="75">
        <v>0</v>
      </c>
      <c r="R83" s="75">
        <v>0</v>
      </c>
      <c r="S83" s="98">
        <f>M83/-2.4</f>
        <v>-0.25</v>
      </c>
      <c r="T83" s="98">
        <f>N83/-2.4</f>
        <v>-0.33333333333333337</v>
      </c>
      <c r="U83" s="97">
        <f t="shared" si="25"/>
        <v>58.8</v>
      </c>
      <c r="V83" s="97">
        <f t="shared" si="26"/>
        <v>29.399999999999991</v>
      </c>
      <c r="W83" s="97">
        <f t="shared" si="27"/>
        <v>79.319999999999993</v>
      </c>
      <c r="X83" s="97">
        <f t="shared" si="28"/>
        <v>89.850000000000009</v>
      </c>
      <c r="Y83" s="97">
        <f t="shared" si="29"/>
        <v>0</v>
      </c>
      <c r="Z83" s="97">
        <f t="shared" si="32"/>
        <v>0</v>
      </c>
      <c r="AA83" s="114">
        <f t="shared" si="30"/>
        <v>0.27305263157894732</v>
      </c>
      <c r="AB83" s="114">
        <f t="shared" si="31"/>
        <v>0.37236842105263157</v>
      </c>
    </row>
    <row r="84" spans="1:28" ht="57" hidden="1" customHeight="1" x14ac:dyDescent="0.2">
      <c r="A84" s="155" t="s">
        <v>236</v>
      </c>
      <c r="B84" s="72" t="str">
        <f t="shared" si="23"/>
        <v>Heating &amp; Cooling Systems - Ground Source Heat PumpsSingle Family Home Attached</v>
      </c>
      <c r="C84" s="73" t="s">
        <v>107</v>
      </c>
      <c r="D84" s="74" t="s">
        <v>128</v>
      </c>
      <c r="E84" s="75">
        <v>0.01</v>
      </c>
      <c r="F84" s="75">
        <v>0.45</v>
      </c>
      <c r="G84" s="75">
        <v>0.01</v>
      </c>
      <c r="H84" s="75">
        <v>0.45</v>
      </c>
      <c r="I84" s="75">
        <f t="shared" si="24"/>
        <v>0.23</v>
      </c>
      <c r="J84" s="109">
        <f>VLOOKUP(D84,'Existing Building EUI'!$B$7:$E$16,3,FALSE)</f>
        <v>147</v>
      </c>
      <c r="K84" s="109">
        <f>VLOOKUP(D84,'Existing Building EUI'!$B$7:$E$16,4,FALSE)</f>
        <v>43</v>
      </c>
      <c r="L84" s="109">
        <v>0</v>
      </c>
      <c r="M84" s="113">
        <v>0.6</v>
      </c>
      <c r="N84" s="75">
        <v>0.8</v>
      </c>
      <c r="O84" s="114">
        <v>0.01</v>
      </c>
      <c r="P84" s="114">
        <v>0.05</v>
      </c>
      <c r="Q84" s="75">
        <v>0</v>
      </c>
      <c r="R84" s="75">
        <v>0</v>
      </c>
      <c r="S84" s="98">
        <f>M84/-3</f>
        <v>-0.19999999999999998</v>
      </c>
      <c r="T84" s="98">
        <f>N84/-3</f>
        <v>-0.26666666666666666</v>
      </c>
      <c r="U84" s="97">
        <f t="shared" si="25"/>
        <v>58.8</v>
      </c>
      <c r="V84" s="97">
        <f t="shared" si="26"/>
        <v>29.399999999999991</v>
      </c>
      <c r="W84" s="97">
        <f t="shared" si="27"/>
        <v>71.97</v>
      </c>
      <c r="X84" s="97">
        <f t="shared" si="28"/>
        <v>80.050000000000011</v>
      </c>
      <c r="Y84" s="97">
        <f t="shared" si="29"/>
        <v>0</v>
      </c>
      <c r="Z84" s="97">
        <f t="shared" si="32"/>
        <v>0</v>
      </c>
      <c r="AA84" s="114">
        <f t="shared" si="30"/>
        <v>0.31173684210526326</v>
      </c>
      <c r="AB84" s="114">
        <f t="shared" si="31"/>
        <v>0.42394736842105263</v>
      </c>
    </row>
    <row r="85" spans="1:28" ht="28.5" hidden="1" x14ac:dyDescent="0.2">
      <c r="A85" s="155" t="s">
        <v>236</v>
      </c>
      <c r="B85" s="72" t="str">
        <f t="shared" si="23"/>
        <v>Renewables - Solar PVSingle Family Home Attached</v>
      </c>
      <c r="C85" s="73" t="s">
        <v>111</v>
      </c>
      <c r="D85" s="74" t="s">
        <v>128</v>
      </c>
      <c r="E85" s="75">
        <v>0.01</v>
      </c>
      <c r="F85" s="75">
        <v>0.1</v>
      </c>
      <c r="G85" s="75">
        <v>0.01</v>
      </c>
      <c r="H85" s="75">
        <v>0.05</v>
      </c>
      <c r="I85" s="75">
        <f t="shared" si="24"/>
        <v>3.0000000000000002E-2</v>
      </c>
      <c r="J85" s="109">
        <f>VLOOKUP(D85,'Existing Building EUI'!$B$7:$E$16,3,FALSE)</f>
        <v>147</v>
      </c>
      <c r="K85" s="109">
        <f>VLOOKUP(D85,'Existing Building EUI'!$B$7:$E$16,4,FALSE)</f>
        <v>43</v>
      </c>
      <c r="L85" s="109">
        <v>0</v>
      </c>
      <c r="M85" s="113">
        <v>0</v>
      </c>
      <c r="N85" s="75">
        <v>0</v>
      </c>
      <c r="O85" s="114">
        <v>0.03</v>
      </c>
      <c r="P85" s="114">
        <v>0.4</v>
      </c>
      <c r="Q85" s="75">
        <v>0</v>
      </c>
      <c r="R85" s="75">
        <v>0</v>
      </c>
      <c r="S85" s="75">
        <v>0</v>
      </c>
      <c r="T85" s="75">
        <v>0</v>
      </c>
      <c r="U85" s="97">
        <f t="shared" si="25"/>
        <v>147</v>
      </c>
      <c r="V85" s="97">
        <f t="shared" si="26"/>
        <v>147</v>
      </c>
      <c r="W85" s="97">
        <f t="shared" si="27"/>
        <v>41.71</v>
      </c>
      <c r="X85" s="97">
        <f t="shared" si="28"/>
        <v>25.8</v>
      </c>
      <c r="Y85" s="97">
        <f t="shared" si="29"/>
        <v>0</v>
      </c>
      <c r="Z85" s="97">
        <f t="shared" si="32"/>
        <v>0</v>
      </c>
      <c r="AA85" s="114">
        <f t="shared" si="30"/>
        <v>6.7894736842104841E-3</v>
      </c>
      <c r="AB85" s="114">
        <f t="shared" si="31"/>
        <v>9.0526315789473621E-2</v>
      </c>
    </row>
    <row r="86" spans="1:28" ht="28.5" hidden="1" x14ac:dyDescent="0.2">
      <c r="A86" s="155" t="s">
        <v>236</v>
      </c>
      <c r="B86" s="72" t="str">
        <f t="shared" si="23"/>
        <v>Renewables - Solar ThermalSingle Family Home Attached</v>
      </c>
      <c r="C86" s="73" t="s">
        <v>112</v>
      </c>
      <c r="D86" s="74" t="s">
        <v>128</v>
      </c>
      <c r="E86" s="75">
        <v>0.05</v>
      </c>
      <c r="F86" s="75">
        <v>0.15</v>
      </c>
      <c r="G86" s="75">
        <v>0.1</v>
      </c>
      <c r="H86" s="75">
        <v>0.2</v>
      </c>
      <c r="I86" s="75">
        <f t="shared" si="24"/>
        <v>0.15000000000000002</v>
      </c>
      <c r="J86" s="109">
        <f>VLOOKUP(D86,'Existing Building EUI'!$B$7:$E$16,3,FALSE)</f>
        <v>147</v>
      </c>
      <c r="K86" s="109">
        <f>VLOOKUP(D86,'Existing Building EUI'!$B$7:$E$16,4,FALSE)</f>
        <v>43</v>
      </c>
      <c r="L86" s="109">
        <v>0</v>
      </c>
      <c r="M86" s="113">
        <v>7.0000000000000007E-2</v>
      </c>
      <c r="N86" s="75">
        <v>0.2</v>
      </c>
      <c r="O86" s="114">
        <v>0</v>
      </c>
      <c r="P86" s="114">
        <v>0</v>
      </c>
      <c r="Q86" s="75">
        <v>0</v>
      </c>
      <c r="R86" s="75">
        <v>0</v>
      </c>
      <c r="S86" s="75">
        <v>0</v>
      </c>
      <c r="T86" s="75">
        <v>0</v>
      </c>
      <c r="U86" s="97">
        <f t="shared" si="25"/>
        <v>136.71</v>
      </c>
      <c r="V86" s="97">
        <f t="shared" si="26"/>
        <v>117.6</v>
      </c>
      <c r="W86" s="97">
        <f t="shared" si="27"/>
        <v>43</v>
      </c>
      <c r="X86" s="97">
        <f t="shared" si="28"/>
        <v>43</v>
      </c>
      <c r="Y86" s="97">
        <f t="shared" si="29"/>
        <v>0</v>
      </c>
      <c r="Z86" s="97">
        <f t="shared" si="32"/>
        <v>0</v>
      </c>
      <c r="AA86" s="114">
        <f t="shared" si="30"/>
        <v>5.4157894736842065E-2</v>
      </c>
      <c r="AB86" s="114">
        <f t="shared" si="31"/>
        <v>0.1547368421052632</v>
      </c>
    </row>
    <row r="87" spans="1:28" ht="57" hidden="1" customHeight="1" x14ac:dyDescent="0.2">
      <c r="A87" s="155" t="s">
        <v>236</v>
      </c>
      <c r="B87" s="72" t="str">
        <f t="shared" si="23"/>
        <v>Ventilation System - Central Energy Recovery Ventilator (ERV)Single Family Home Attached</v>
      </c>
      <c r="C87" s="73" t="s">
        <v>129</v>
      </c>
      <c r="D87" s="74" t="s">
        <v>128</v>
      </c>
      <c r="E87" s="75">
        <v>0.01</v>
      </c>
      <c r="F87" s="75">
        <v>0.05</v>
      </c>
      <c r="G87" s="75">
        <v>0.01</v>
      </c>
      <c r="H87" s="75">
        <v>0.05</v>
      </c>
      <c r="I87" s="75">
        <f t="shared" si="24"/>
        <v>3.0000000000000002E-2</v>
      </c>
      <c r="J87" s="109">
        <f>VLOOKUP(D87,'Existing Building EUI'!$B$7:$E$16,3,FALSE)</f>
        <v>147</v>
      </c>
      <c r="K87" s="109">
        <f>VLOOKUP(D87,'Existing Building EUI'!$B$7:$E$16,4,FALSE)</f>
        <v>43</v>
      </c>
      <c r="L87" s="109">
        <v>0</v>
      </c>
      <c r="M87" s="113">
        <v>0.01</v>
      </c>
      <c r="N87" s="75">
        <v>0.05</v>
      </c>
      <c r="O87" s="114">
        <v>0.01</v>
      </c>
      <c r="P87" s="114">
        <v>0.05</v>
      </c>
      <c r="Q87" s="75">
        <v>0</v>
      </c>
      <c r="R87" s="75">
        <v>0</v>
      </c>
      <c r="S87" s="98">
        <v>0</v>
      </c>
      <c r="T87" s="98">
        <v>0</v>
      </c>
      <c r="U87" s="97">
        <f t="shared" si="25"/>
        <v>145.53</v>
      </c>
      <c r="V87" s="97">
        <f t="shared" si="26"/>
        <v>139.65</v>
      </c>
      <c r="W87" s="97">
        <f t="shared" si="27"/>
        <v>42.57</v>
      </c>
      <c r="X87" s="97">
        <f t="shared" si="28"/>
        <v>40.85</v>
      </c>
      <c r="Y87" s="97">
        <f t="shared" si="29"/>
        <v>0</v>
      </c>
      <c r="Z87" s="97">
        <f t="shared" si="32"/>
        <v>0</v>
      </c>
      <c r="AA87" s="114">
        <f t="shared" si="30"/>
        <v>1.000000000000003E-2</v>
      </c>
      <c r="AB87" s="114">
        <f t="shared" si="31"/>
        <v>0.05</v>
      </c>
    </row>
    <row r="88" spans="1:28" ht="57" hidden="1" customHeight="1" x14ac:dyDescent="0.2">
      <c r="A88" s="155" t="s">
        <v>236</v>
      </c>
      <c r="B88" s="72" t="str">
        <f t="shared" si="23"/>
        <v>Ventilation System - Local Energy Recovery Ventilator (ERV)Single Family Home Attached</v>
      </c>
      <c r="C88" s="73" t="s">
        <v>130</v>
      </c>
      <c r="D88" s="74" t="s">
        <v>128</v>
      </c>
      <c r="E88" s="75">
        <v>0.01</v>
      </c>
      <c r="F88" s="75">
        <v>0.05</v>
      </c>
      <c r="G88" s="75">
        <v>0.01</v>
      </c>
      <c r="H88" s="75">
        <v>0.05</v>
      </c>
      <c r="I88" s="75">
        <f t="shared" si="24"/>
        <v>3.0000000000000002E-2</v>
      </c>
      <c r="J88" s="109">
        <f>VLOOKUP(D88,'Existing Building EUI'!$B$7:$E$16,3,FALSE)</f>
        <v>147</v>
      </c>
      <c r="K88" s="109">
        <f>VLOOKUP(D88,'Existing Building EUI'!$B$7:$E$16,4,FALSE)</f>
        <v>43</v>
      </c>
      <c r="L88" s="109">
        <v>0</v>
      </c>
      <c r="M88" s="113">
        <v>0.01</v>
      </c>
      <c r="N88" s="75">
        <v>0.05</v>
      </c>
      <c r="O88" s="114">
        <v>0.01</v>
      </c>
      <c r="P88" s="114">
        <v>0.05</v>
      </c>
      <c r="Q88" s="75">
        <v>0</v>
      </c>
      <c r="R88" s="75">
        <v>0</v>
      </c>
      <c r="S88" s="98">
        <v>0</v>
      </c>
      <c r="T88" s="98">
        <v>0</v>
      </c>
      <c r="U88" s="97">
        <f t="shared" si="25"/>
        <v>145.53</v>
      </c>
      <c r="V88" s="97">
        <f t="shared" si="26"/>
        <v>139.65</v>
      </c>
      <c r="W88" s="97">
        <f t="shared" si="27"/>
        <v>42.57</v>
      </c>
      <c r="X88" s="97">
        <f t="shared" si="28"/>
        <v>40.85</v>
      </c>
      <c r="Y88" s="97">
        <f t="shared" si="29"/>
        <v>0</v>
      </c>
      <c r="Z88" s="97">
        <f t="shared" si="32"/>
        <v>0</v>
      </c>
      <c r="AA88" s="114">
        <f t="shared" si="30"/>
        <v>1.000000000000003E-2</v>
      </c>
      <c r="AB88" s="114">
        <f t="shared" si="31"/>
        <v>0.05</v>
      </c>
    </row>
    <row r="89" spans="1:28" ht="42.75" hidden="1" x14ac:dyDescent="0.2">
      <c r="A89" s="155" t="s">
        <v>236</v>
      </c>
      <c r="B89" s="72" t="str">
        <f t="shared" si="23"/>
        <v>Appliance Upgrades &amp; Lighting and Lighting ControlsSingle Family Home Detached</v>
      </c>
      <c r="C89" s="73" t="s">
        <v>124</v>
      </c>
      <c r="D89" s="74" t="s">
        <v>131</v>
      </c>
      <c r="E89" s="75">
        <v>0.11</v>
      </c>
      <c r="F89" s="75">
        <v>0.2</v>
      </c>
      <c r="G89" s="75">
        <v>0.01</v>
      </c>
      <c r="H89" s="75">
        <v>0.1</v>
      </c>
      <c r="I89" s="75">
        <f t="shared" si="24"/>
        <v>5.5E-2</v>
      </c>
      <c r="J89" s="109">
        <f>VLOOKUP(D89,'Existing Building EUI'!$B$7:$E$16,3,FALSE)</f>
        <v>203</v>
      </c>
      <c r="K89" s="109">
        <f>VLOOKUP(D89,'Existing Building EUI'!$B$7:$E$16,4,FALSE)</f>
        <v>38</v>
      </c>
      <c r="L89" s="109">
        <v>0</v>
      </c>
      <c r="M89" s="113">
        <v>0</v>
      </c>
      <c r="N89" s="75">
        <v>0</v>
      </c>
      <c r="O89" s="114">
        <v>0.7</v>
      </c>
      <c r="P89" s="114">
        <v>0.8</v>
      </c>
      <c r="Q89" s="75">
        <v>0</v>
      </c>
      <c r="R89" s="75">
        <v>0</v>
      </c>
      <c r="S89" s="75">
        <v>0</v>
      </c>
      <c r="T89" s="75">
        <v>0</v>
      </c>
      <c r="U89" s="97">
        <f t="shared" si="25"/>
        <v>203</v>
      </c>
      <c r="V89" s="97">
        <f t="shared" si="26"/>
        <v>203</v>
      </c>
      <c r="W89" s="97">
        <f t="shared" si="27"/>
        <v>11.400000000000002</v>
      </c>
      <c r="X89" s="97">
        <f t="shared" si="28"/>
        <v>7.5999999999999979</v>
      </c>
      <c r="Y89" s="97">
        <f t="shared" si="29"/>
        <v>0</v>
      </c>
      <c r="Z89" s="97">
        <f t="shared" si="32"/>
        <v>0</v>
      </c>
      <c r="AA89" s="114">
        <f t="shared" si="30"/>
        <v>0.11037344398340247</v>
      </c>
      <c r="AB89" s="114">
        <f t="shared" si="31"/>
        <v>0.1261410788381743</v>
      </c>
    </row>
    <row r="90" spans="1:28" ht="42.75" hidden="1" x14ac:dyDescent="0.2">
      <c r="A90" s="155" t="s">
        <v>236</v>
      </c>
      <c r="B90" s="72" t="str">
        <f t="shared" si="23"/>
        <v>Building Envelope - High Performance Glazing with Enhanced Air SealingSingle Family Home Detached</v>
      </c>
      <c r="C90" s="110" t="s">
        <v>102</v>
      </c>
      <c r="D90" s="74" t="s">
        <v>131</v>
      </c>
      <c r="E90" s="75">
        <v>0.01</v>
      </c>
      <c r="F90" s="75">
        <v>0.1</v>
      </c>
      <c r="G90" s="75">
        <v>0.01</v>
      </c>
      <c r="H90" s="75">
        <v>0.1</v>
      </c>
      <c r="I90" s="75">
        <f t="shared" si="24"/>
        <v>5.5E-2</v>
      </c>
      <c r="J90" s="109">
        <f>VLOOKUP(D90,'Existing Building EUI'!$B$7:$E$16,3,FALSE)</f>
        <v>203</v>
      </c>
      <c r="K90" s="109">
        <f>VLOOKUP(D90,'Existing Building EUI'!$B$7:$E$16,4,FALSE)</f>
        <v>38</v>
      </c>
      <c r="L90" s="109">
        <v>0</v>
      </c>
      <c r="M90" s="113">
        <v>0.01</v>
      </c>
      <c r="N90" s="75">
        <v>0.11</v>
      </c>
      <c r="O90" s="113">
        <v>0.01</v>
      </c>
      <c r="P90" s="114">
        <v>7.0000000000000007E-2</v>
      </c>
      <c r="Q90" s="75">
        <v>0</v>
      </c>
      <c r="R90" s="75">
        <v>0</v>
      </c>
      <c r="S90" s="75">
        <v>0</v>
      </c>
      <c r="T90" s="75">
        <v>0</v>
      </c>
      <c r="U90" s="97">
        <f t="shared" si="25"/>
        <v>200.97</v>
      </c>
      <c r="V90" s="97">
        <f t="shared" si="26"/>
        <v>180.67</v>
      </c>
      <c r="W90" s="97">
        <f t="shared" si="27"/>
        <v>37.619999999999997</v>
      </c>
      <c r="X90" s="97">
        <f t="shared" si="28"/>
        <v>35.340000000000003</v>
      </c>
      <c r="Y90" s="97">
        <f t="shared" si="29"/>
        <v>0</v>
      </c>
      <c r="Z90" s="97">
        <f t="shared" si="32"/>
        <v>0</v>
      </c>
      <c r="AA90" s="114">
        <f t="shared" si="30"/>
        <v>9.9999999999999863E-3</v>
      </c>
      <c r="AB90" s="114">
        <f t="shared" si="31"/>
        <v>0.10369294605809132</v>
      </c>
    </row>
    <row r="91" spans="1:28" ht="57" hidden="1" x14ac:dyDescent="0.2">
      <c r="A91" s="155" t="s">
        <v>236</v>
      </c>
      <c r="B91" s="72" t="str">
        <f t="shared" si="23"/>
        <v>Building Envelope - High Performance Glazing, Wall Insulation, &amp; Roof InsulationSingle Family Home Detached</v>
      </c>
      <c r="C91" s="110" t="s">
        <v>104</v>
      </c>
      <c r="D91" s="74" t="s">
        <v>131</v>
      </c>
      <c r="E91" s="75">
        <v>0.11</v>
      </c>
      <c r="F91" s="75">
        <v>0.2</v>
      </c>
      <c r="G91" s="75">
        <v>0.11</v>
      </c>
      <c r="H91" s="75">
        <v>0.2</v>
      </c>
      <c r="I91" s="75">
        <f t="shared" si="24"/>
        <v>0.155</v>
      </c>
      <c r="J91" s="109">
        <f>VLOOKUP(D91,'Existing Building EUI'!$B$7:$E$16,3,FALSE)</f>
        <v>203</v>
      </c>
      <c r="K91" s="109">
        <f>VLOOKUP(D91,'Existing Building EUI'!$B$7:$E$16,4,FALSE)</f>
        <v>38</v>
      </c>
      <c r="L91" s="109">
        <v>0</v>
      </c>
      <c r="M91" s="113">
        <v>0.12</v>
      </c>
      <c r="N91" s="75">
        <v>0.2</v>
      </c>
      <c r="O91" s="114">
        <v>0.08</v>
      </c>
      <c r="P91" s="114">
        <v>0.15</v>
      </c>
      <c r="Q91" s="75">
        <v>0</v>
      </c>
      <c r="R91" s="75">
        <v>0</v>
      </c>
      <c r="S91" s="75">
        <v>0</v>
      </c>
      <c r="T91" s="75">
        <v>0</v>
      </c>
      <c r="U91" s="97">
        <f t="shared" si="25"/>
        <v>178.64</v>
      </c>
      <c r="V91" s="97">
        <f t="shared" si="26"/>
        <v>162.4</v>
      </c>
      <c r="W91" s="97">
        <f t="shared" si="27"/>
        <v>34.96</v>
      </c>
      <c r="X91" s="97">
        <f t="shared" si="28"/>
        <v>32.299999999999997</v>
      </c>
      <c r="Y91" s="97">
        <f t="shared" si="29"/>
        <v>0</v>
      </c>
      <c r="Z91" s="97">
        <f t="shared" si="32"/>
        <v>0</v>
      </c>
      <c r="AA91" s="114">
        <f t="shared" si="30"/>
        <v>0.11369294605809131</v>
      </c>
      <c r="AB91" s="114">
        <f t="shared" si="31"/>
        <v>0.19211618257261415</v>
      </c>
    </row>
    <row r="92" spans="1:28" ht="28.5" x14ac:dyDescent="0.2">
      <c r="A92" s="155" t="s">
        <v>236</v>
      </c>
      <c r="B92" s="72" t="str">
        <f t="shared" si="23"/>
        <v>Domestic Hot Water - Electric Water HeaterSingle Family Home Detached</v>
      </c>
      <c r="C92" s="110" t="s">
        <v>115</v>
      </c>
      <c r="D92" s="74" t="s">
        <v>131</v>
      </c>
      <c r="E92" s="75">
        <v>0.21</v>
      </c>
      <c r="F92" s="75">
        <v>0.3</v>
      </c>
      <c r="G92" s="75">
        <v>0.21</v>
      </c>
      <c r="H92" s="75">
        <v>0.3</v>
      </c>
      <c r="I92" s="75">
        <f t="shared" si="24"/>
        <v>0.255</v>
      </c>
      <c r="J92" s="109">
        <f>VLOOKUP(D92,'Existing Building EUI'!$B$7:$E$16,3,FALSE)</f>
        <v>203</v>
      </c>
      <c r="K92" s="109">
        <f>VLOOKUP(D92,'Existing Building EUI'!$B$7:$E$16,4,FALSE)</f>
        <v>38</v>
      </c>
      <c r="L92" s="109">
        <v>0</v>
      </c>
      <c r="M92" s="113">
        <v>0.2</v>
      </c>
      <c r="N92" s="75">
        <v>0.3</v>
      </c>
      <c r="O92" s="114">
        <v>0</v>
      </c>
      <c r="P92" s="114">
        <v>0</v>
      </c>
      <c r="Q92" s="75">
        <v>0</v>
      </c>
      <c r="R92" s="75">
        <v>0</v>
      </c>
      <c r="S92" s="98">
        <f>M92/-4</f>
        <v>-0.05</v>
      </c>
      <c r="T92" s="98">
        <f>N92/-4</f>
        <v>-7.4999999999999997E-2</v>
      </c>
      <c r="U92" s="97">
        <f t="shared" si="25"/>
        <v>162.4</v>
      </c>
      <c r="V92" s="97">
        <f t="shared" si="26"/>
        <v>142.1</v>
      </c>
      <c r="W92" s="97">
        <f t="shared" si="27"/>
        <v>48.15</v>
      </c>
      <c r="X92" s="97">
        <f t="shared" si="28"/>
        <v>53.225000000000001</v>
      </c>
      <c r="Y92" s="97">
        <f t="shared" si="29"/>
        <v>0</v>
      </c>
      <c r="Z92" s="97">
        <f t="shared" si="32"/>
        <v>0</v>
      </c>
      <c r="AA92" s="114">
        <f t="shared" si="30"/>
        <v>0.12634854771784226</v>
      </c>
      <c r="AB92" s="114">
        <f t="shared" si="31"/>
        <v>0.18952282157676353</v>
      </c>
    </row>
    <row r="93" spans="1:28" ht="57" hidden="1" x14ac:dyDescent="0.2">
      <c r="A93" s="155" t="s">
        <v>236</v>
      </c>
      <c r="B93" s="72" t="str">
        <f t="shared" si="23"/>
        <v>Gas Appliances - Electric and Induction Ranges &amp; Heat Pump Electric DryersSingle Family Home Detached</v>
      </c>
      <c r="C93" s="73" t="s">
        <v>122</v>
      </c>
      <c r="D93" s="74" t="s">
        <v>131</v>
      </c>
      <c r="E93" s="75">
        <v>0.01</v>
      </c>
      <c r="F93" s="75">
        <v>0.1</v>
      </c>
      <c r="G93" s="75">
        <v>0.05</v>
      </c>
      <c r="H93" s="75">
        <v>0.2</v>
      </c>
      <c r="I93" s="75">
        <f t="shared" si="24"/>
        <v>0.125</v>
      </c>
      <c r="J93" s="109">
        <f>VLOOKUP(D93,'Existing Building EUI'!$B$7:$E$16,3,FALSE)</f>
        <v>203</v>
      </c>
      <c r="K93" s="109">
        <f>VLOOKUP(D93,'Existing Building EUI'!$B$7:$E$16,4,FALSE)</f>
        <v>38</v>
      </c>
      <c r="L93" s="109">
        <v>0</v>
      </c>
      <c r="M93" s="113">
        <v>0.02</v>
      </c>
      <c r="N93" s="75">
        <v>0.15</v>
      </c>
      <c r="O93" s="114">
        <v>0</v>
      </c>
      <c r="P93" s="114">
        <v>0</v>
      </c>
      <c r="Q93" s="75">
        <v>0</v>
      </c>
      <c r="R93" s="75">
        <v>0</v>
      </c>
      <c r="S93" s="98">
        <f>M93/-2</f>
        <v>-0.01</v>
      </c>
      <c r="T93" s="98">
        <f>N93/-2</f>
        <v>-7.4999999999999997E-2</v>
      </c>
      <c r="U93" s="97">
        <f t="shared" si="25"/>
        <v>198.94</v>
      </c>
      <c r="V93" s="97">
        <f t="shared" si="26"/>
        <v>172.55</v>
      </c>
      <c r="W93" s="97">
        <f t="shared" si="27"/>
        <v>40.03</v>
      </c>
      <c r="X93" s="97">
        <f t="shared" si="28"/>
        <v>53.225000000000001</v>
      </c>
      <c r="Y93" s="97">
        <f t="shared" si="29"/>
        <v>0</v>
      </c>
      <c r="Z93" s="97">
        <f t="shared" si="32"/>
        <v>0</v>
      </c>
      <c r="AA93" s="114">
        <f t="shared" si="30"/>
        <v>8.423236514522826E-3</v>
      </c>
      <c r="AB93" s="114">
        <f t="shared" si="31"/>
        <v>6.3174273858921132E-2</v>
      </c>
    </row>
    <row r="94" spans="1:28" ht="42.75" hidden="1" x14ac:dyDescent="0.2">
      <c r="A94" s="155" t="s">
        <v>236</v>
      </c>
      <c r="B94" s="72" t="str">
        <f t="shared" si="23"/>
        <v>Heating &amp; Cooling Systems - Air Source Heat PumpsSingle Family Home Detached</v>
      </c>
      <c r="C94" s="73" t="s">
        <v>106</v>
      </c>
      <c r="D94" s="74" t="s">
        <v>131</v>
      </c>
      <c r="E94" s="75">
        <v>0.01</v>
      </c>
      <c r="F94" s="75">
        <v>0.55000000000000004</v>
      </c>
      <c r="G94" s="75">
        <v>0.01</v>
      </c>
      <c r="H94" s="75">
        <v>0.55000000000000004</v>
      </c>
      <c r="I94" s="75">
        <f t="shared" si="24"/>
        <v>0.28000000000000003</v>
      </c>
      <c r="J94" s="109">
        <f>VLOOKUP(D94,'Existing Building EUI'!$B$7:$E$16,3,FALSE)</f>
        <v>203</v>
      </c>
      <c r="K94" s="109">
        <f>VLOOKUP(D94,'Existing Building EUI'!$B$7:$E$16,4,FALSE)</f>
        <v>38</v>
      </c>
      <c r="L94" s="109">
        <v>0</v>
      </c>
      <c r="M94" s="113">
        <v>0.6</v>
      </c>
      <c r="N94" s="75">
        <v>0.8</v>
      </c>
      <c r="O94" s="114">
        <v>0.01</v>
      </c>
      <c r="P94" s="114">
        <v>0.05</v>
      </c>
      <c r="Q94" s="75">
        <v>0</v>
      </c>
      <c r="R94" s="75">
        <v>0</v>
      </c>
      <c r="S94" s="98">
        <f>M94/-2.4</f>
        <v>-0.25</v>
      </c>
      <c r="T94" s="98">
        <f>N94/-2.4</f>
        <v>-0.33333333333333337</v>
      </c>
      <c r="U94" s="97">
        <f t="shared" si="25"/>
        <v>81.2</v>
      </c>
      <c r="V94" s="97">
        <f t="shared" si="26"/>
        <v>40.599999999999994</v>
      </c>
      <c r="W94" s="97">
        <f t="shared" si="27"/>
        <v>88.37</v>
      </c>
      <c r="X94" s="97">
        <f t="shared" si="28"/>
        <v>103.76666666666667</v>
      </c>
      <c r="Y94" s="97">
        <f t="shared" si="29"/>
        <v>0</v>
      </c>
      <c r="Z94" s="97">
        <f t="shared" si="32"/>
        <v>0</v>
      </c>
      <c r="AA94" s="114">
        <f t="shared" si="30"/>
        <v>0.29639004149377596</v>
      </c>
      <c r="AB94" s="114">
        <f t="shared" si="31"/>
        <v>0.40096818810511753</v>
      </c>
    </row>
    <row r="95" spans="1:28" ht="42.75" hidden="1" x14ac:dyDescent="0.2">
      <c r="A95" s="155" t="s">
        <v>236</v>
      </c>
      <c r="B95" s="72" t="str">
        <f t="shared" si="23"/>
        <v>Heating &amp; Cooling Systems - Ground Source Heat PumpsSingle Family Home Detached</v>
      </c>
      <c r="C95" s="73" t="s">
        <v>107</v>
      </c>
      <c r="D95" s="74" t="s">
        <v>131</v>
      </c>
      <c r="E95" s="75">
        <v>0.01</v>
      </c>
      <c r="F95" s="75">
        <v>0.55000000000000004</v>
      </c>
      <c r="G95" s="75">
        <v>0.01</v>
      </c>
      <c r="H95" s="75">
        <v>0.55000000000000004</v>
      </c>
      <c r="I95" s="75">
        <f t="shared" si="24"/>
        <v>0.28000000000000003</v>
      </c>
      <c r="J95" s="109">
        <f>VLOOKUP(D95,'Existing Building EUI'!$B$7:$E$16,3,FALSE)</f>
        <v>203</v>
      </c>
      <c r="K95" s="109">
        <f>VLOOKUP(D95,'Existing Building EUI'!$B$7:$E$16,4,FALSE)</f>
        <v>38</v>
      </c>
      <c r="L95" s="109">
        <v>0</v>
      </c>
      <c r="M95" s="113">
        <v>0.6</v>
      </c>
      <c r="N95" s="75">
        <v>0.8</v>
      </c>
      <c r="O95" s="114">
        <v>0.01</v>
      </c>
      <c r="P95" s="114">
        <v>0.05</v>
      </c>
      <c r="Q95" s="75">
        <v>0</v>
      </c>
      <c r="R95" s="75">
        <v>0</v>
      </c>
      <c r="S95" s="98">
        <f>M95/-3</f>
        <v>-0.19999999999999998</v>
      </c>
      <c r="T95" s="98">
        <f>N95/-3</f>
        <v>-0.26666666666666666</v>
      </c>
      <c r="U95" s="97">
        <f t="shared" si="25"/>
        <v>81.2</v>
      </c>
      <c r="V95" s="97">
        <f t="shared" si="26"/>
        <v>40.599999999999994</v>
      </c>
      <c r="W95" s="97">
        <f t="shared" si="27"/>
        <v>78.22</v>
      </c>
      <c r="X95" s="97">
        <f t="shared" si="28"/>
        <v>90.233333333333334</v>
      </c>
      <c r="Y95" s="97">
        <f t="shared" si="29"/>
        <v>0</v>
      </c>
      <c r="Z95" s="97">
        <f t="shared" si="32"/>
        <v>0</v>
      </c>
      <c r="AA95" s="114">
        <f t="shared" si="30"/>
        <v>0.33850622406638997</v>
      </c>
      <c r="AB95" s="114">
        <f t="shared" si="31"/>
        <v>0.45712309820193647</v>
      </c>
    </row>
    <row r="96" spans="1:28" ht="28.5" hidden="1" x14ac:dyDescent="0.2">
      <c r="A96" s="155" t="s">
        <v>236</v>
      </c>
      <c r="B96" s="72" t="str">
        <f t="shared" si="23"/>
        <v>Renewables - Solar PVSingle Family Home Detached</v>
      </c>
      <c r="C96" s="73" t="s">
        <v>111</v>
      </c>
      <c r="D96" s="74" t="s">
        <v>131</v>
      </c>
      <c r="E96" s="75">
        <v>0.01</v>
      </c>
      <c r="F96" s="75">
        <v>0.1</v>
      </c>
      <c r="G96" s="75">
        <v>0.01</v>
      </c>
      <c r="H96" s="75">
        <v>0.05</v>
      </c>
      <c r="I96" s="75">
        <f t="shared" si="24"/>
        <v>3.0000000000000002E-2</v>
      </c>
      <c r="J96" s="109">
        <f>VLOOKUP(D96,'Existing Building EUI'!$B$7:$E$16,3,FALSE)</f>
        <v>203</v>
      </c>
      <c r="K96" s="109">
        <f>VLOOKUP(D96,'Existing Building EUI'!$B$7:$E$16,4,FALSE)</f>
        <v>38</v>
      </c>
      <c r="L96" s="109">
        <v>0</v>
      </c>
      <c r="M96" s="113">
        <v>0</v>
      </c>
      <c r="N96" s="75">
        <v>0</v>
      </c>
      <c r="O96" s="114">
        <v>0.04</v>
      </c>
      <c r="P96" s="114">
        <v>0.5</v>
      </c>
      <c r="Q96" s="75">
        <v>0</v>
      </c>
      <c r="R96" s="75">
        <v>0</v>
      </c>
      <c r="S96" s="75">
        <v>0</v>
      </c>
      <c r="T96" s="75">
        <v>0</v>
      </c>
      <c r="U96" s="97">
        <f t="shared" si="25"/>
        <v>203</v>
      </c>
      <c r="V96" s="97">
        <f t="shared" si="26"/>
        <v>203</v>
      </c>
      <c r="W96" s="97">
        <f t="shared" si="27"/>
        <v>36.479999999999997</v>
      </c>
      <c r="X96" s="97">
        <f t="shared" si="28"/>
        <v>19</v>
      </c>
      <c r="Y96" s="97">
        <f t="shared" si="29"/>
        <v>0</v>
      </c>
      <c r="Z96" s="97">
        <f t="shared" si="32"/>
        <v>0</v>
      </c>
      <c r="AA96" s="114">
        <f t="shared" si="30"/>
        <v>6.3070539419087558E-3</v>
      </c>
      <c r="AB96" s="114">
        <f t="shared" si="31"/>
        <v>7.8838174273858919E-2</v>
      </c>
    </row>
    <row r="97" spans="1:28" ht="28.5" hidden="1" x14ac:dyDescent="0.2">
      <c r="A97" s="155" t="s">
        <v>236</v>
      </c>
      <c r="B97" s="72" t="str">
        <f t="shared" si="23"/>
        <v>Renewables - Solar ThermalSingle Family Home Detached</v>
      </c>
      <c r="C97" s="73" t="s">
        <v>112</v>
      </c>
      <c r="D97" s="74" t="s">
        <v>131</v>
      </c>
      <c r="E97" s="75">
        <v>0.05</v>
      </c>
      <c r="F97" s="75">
        <v>0.15</v>
      </c>
      <c r="G97" s="75">
        <v>0.1</v>
      </c>
      <c r="H97" s="75">
        <v>0.2</v>
      </c>
      <c r="I97" s="75">
        <f t="shared" si="24"/>
        <v>0.15000000000000002</v>
      </c>
      <c r="J97" s="109">
        <f>VLOOKUP(D97,'Existing Building EUI'!$B$7:$E$16,3,FALSE)</f>
        <v>203</v>
      </c>
      <c r="K97" s="109">
        <f>VLOOKUP(D97,'Existing Building EUI'!$B$7:$E$16,4,FALSE)</f>
        <v>38</v>
      </c>
      <c r="L97" s="109">
        <v>0</v>
      </c>
      <c r="M97" s="113">
        <v>0.06</v>
      </c>
      <c r="N97" s="75">
        <v>0.18</v>
      </c>
      <c r="O97" s="114">
        <v>0</v>
      </c>
      <c r="P97" s="114">
        <v>0</v>
      </c>
      <c r="Q97" s="75">
        <v>0</v>
      </c>
      <c r="R97" s="75">
        <v>0</v>
      </c>
      <c r="S97" s="75">
        <v>0</v>
      </c>
      <c r="T97" s="75">
        <v>0</v>
      </c>
      <c r="U97" s="97">
        <f t="shared" si="25"/>
        <v>190.82</v>
      </c>
      <c r="V97" s="97">
        <f t="shared" si="26"/>
        <v>166.46</v>
      </c>
      <c r="W97" s="97">
        <f t="shared" si="27"/>
        <v>38</v>
      </c>
      <c r="X97" s="97">
        <f t="shared" si="28"/>
        <v>38</v>
      </c>
      <c r="Y97" s="97">
        <f t="shared" si="29"/>
        <v>0</v>
      </c>
      <c r="Z97" s="97">
        <f t="shared" si="32"/>
        <v>0</v>
      </c>
      <c r="AA97" s="114">
        <f t="shared" si="30"/>
        <v>5.0539419087136959E-2</v>
      </c>
      <c r="AB97" s="114">
        <f t="shared" si="31"/>
        <v>0.15161825726141076</v>
      </c>
    </row>
    <row r="98" spans="1:28" ht="42.75" hidden="1" x14ac:dyDescent="0.2">
      <c r="A98" s="155" t="s">
        <v>236</v>
      </c>
      <c r="B98" s="72" t="str">
        <f t="shared" si="23"/>
        <v>Ventilation System - Central Energy Recovery Ventilator (ERV)Single Family Home Detached</v>
      </c>
      <c r="C98" s="73" t="s">
        <v>129</v>
      </c>
      <c r="D98" s="74" t="s">
        <v>131</v>
      </c>
      <c r="E98" s="75">
        <v>0.01</v>
      </c>
      <c r="F98" s="75">
        <v>0.05</v>
      </c>
      <c r="G98" s="75">
        <v>0.01</v>
      </c>
      <c r="H98" s="75">
        <v>0.05</v>
      </c>
      <c r="I98" s="75">
        <f t="shared" si="24"/>
        <v>3.0000000000000002E-2</v>
      </c>
      <c r="J98" s="109">
        <f>VLOOKUP(D98,'Existing Building EUI'!$B$7:$E$16,3,FALSE)</f>
        <v>203</v>
      </c>
      <c r="K98" s="109">
        <f>VLOOKUP(D98,'Existing Building EUI'!$B$7:$E$16,4,FALSE)</f>
        <v>38</v>
      </c>
      <c r="L98" s="109">
        <v>0</v>
      </c>
      <c r="M98" s="113">
        <v>0.01</v>
      </c>
      <c r="N98" s="75">
        <v>0.05</v>
      </c>
      <c r="O98" s="114">
        <v>0.01</v>
      </c>
      <c r="P98" s="114">
        <v>0.05</v>
      </c>
      <c r="Q98" s="75">
        <v>0</v>
      </c>
      <c r="R98" s="75">
        <v>0</v>
      </c>
      <c r="S98" s="98">
        <v>0</v>
      </c>
      <c r="T98" s="98">
        <v>0</v>
      </c>
      <c r="U98" s="97">
        <f t="shared" si="25"/>
        <v>200.97</v>
      </c>
      <c r="V98" s="97">
        <f t="shared" si="26"/>
        <v>192.85</v>
      </c>
      <c r="W98" s="97">
        <f t="shared" si="27"/>
        <v>37.619999999999997</v>
      </c>
      <c r="X98" s="97">
        <f t="shared" si="28"/>
        <v>36.1</v>
      </c>
      <c r="Y98" s="97">
        <f t="shared" si="29"/>
        <v>0</v>
      </c>
      <c r="Z98" s="97">
        <f t="shared" si="32"/>
        <v>0</v>
      </c>
      <c r="AA98" s="114">
        <f t="shared" si="30"/>
        <v>9.9999999999999863E-3</v>
      </c>
      <c r="AB98" s="114">
        <f t="shared" si="31"/>
        <v>5.0000000000000044E-2</v>
      </c>
    </row>
    <row r="99" spans="1:28" ht="42.75" hidden="1" x14ac:dyDescent="0.2">
      <c r="A99" s="155" t="s">
        <v>236</v>
      </c>
      <c r="B99" s="72" t="str">
        <f t="shared" si="23"/>
        <v>Ventilation System - Local Energy Recovery Ventilator (ERV)Single Family Home Detached</v>
      </c>
      <c r="C99" s="73" t="s">
        <v>130</v>
      </c>
      <c r="D99" s="74" t="s">
        <v>131</v>
      </c>
      <c r="E99" s="75">
        <v>0.01</v>
      </c>
      <c r="F99" s="75">
        <v>0.05</v>
      </c>
      <c r="G99" s="75">
        <v>0.01</v>
      </c>
      <c r="H99" s="75">
        <v>0.05</v>
      </c>
      <c r="I99" s="75">
        <f t="shared" si="24"/>
        <v>3.0000000000000002E-2</v>
      </c>
      <c r="J99" s="109">
        <f>VLOOKUP(D99,'Existing Building EUI'!$B$7:$E$16,3,FALSE)</f>
        <v>203</v>
      </c>
      <c r="K99" s="109">
        <f>VLOOKUP(D99,'Existing Building EUI'!$B$7:$E$16,4,FALSE)</f>
        <v>38</v>
      </c>
      <c r="L99" s="109">
        <v>0</v>
      </c>
      <c r="M99" s="113">
        <v>0.01</v>
      </c>
      <c r="N99" s="75">
        <v>0.05</v>
      </c>
      <c r="O99" s="114">
        <v>0.01</v>
      </c>
      <c r="P99" s="114">
        <v>0.05</v>
      </c>
      <c r="Q99" s="75">
        <v>0</v>
      </c>
      <c r="R99" s="75">
        <v>0</v>
      </c>
      <c r="S99" s="98">
        <v>0</v>
      </c>
      <c r="T99" s="98">
        <v>0</v>
      </c>
      <c r="U99" s="97">
        <f t="shared" si="25"/>
        <v>200.97</v>
      </c>
      <c r="V99" s="97">
        <f t="shared" si="26"/>
        <v>192.85</v>
      </c>
      <c r="W99" s="97">
        <f t="shared" si="27"/>
        <v>37.619999999999997</v>
      </c>
      <c r="X99" s="97">
        <f t="shared" si="28"/>
        <v>36.1</v>
      </c>
      <c r="Y99" s="97">
        <f t="shared" si="29"/>
        <v>0</v>
      </c>
      <c r="Z99" s="97">
        <f t="shared" si="32"/>
        <v>0</v>
      </c>
      <c r="AA99" s="114">
        <f t="shared" si="30"/>
        <v>9.9999999999999863E-3</v>
      </c>
      <c r="AB99" s="114">
        <f t="shared" si="31"/>
        <v>5.0000000000000044E-2</v>
      </c>
    </row>
    <row r="100" spans="1:28" ht="15" hidden="1" x14ac:dyDescent="0.2">
      <c r="A100" s="155" t="s">
        <v>236</v>
      </c>
      <c r="B100" s="72" t="str">
        <f t="shared" si="23"/>
        <v>Appliance UpgradesStrip Mall</v>
      </c>
      <c r="C100" s="73" t="s">
        <v>109</v>
      </c>
      <c r="D100" s="74" t="s">
        <v>94</v>
      </c>
      <c r="E100" s="75">
        <v>0.01</v>
      </c>
      <c r="F100" s="75">
        <v>0.02</v>
      </c>
      <c r="G100" s="75">
        <v>0</v>
      </c>
      <c r="H100" s="75">
        <v>0.01</v>
      </c>
      <c r="I100" s="75">
        <f t="shared" si="24"/>
        <v>5.0000000000000001E-3</v>
      </c>
      <c r="J100" s="109">
        <f>VLOOKUP(D100,'Existing Building EUI'!$B$7:$E$16,3,FALSE)</f>
        <v>127</v>
      </c>
      <c r="K100" s="109">
        <f>VLOOKUP(D100,'Existing Building EUI'!$B$7:$E$16,4,FALSE)</f>
        <v>248</v>
      </c>
      <c r="L100" s="109">
        <v>0</v>
      </c>
      <c r="M100" s="113">
        <v>0</v>
      </c>
      <c r="N100" s="75">
        <v>0</v>
      </c>
      <c r="O100" s="114">
        <v>0.02</v>
      </c>
      <c r="P100" s="114">
        <v>0.03</v>
      </c>
      <c r="Q100" s="75">
        <v>0</v>
      </c>
      <c r="R100" s="75">
        <v>0</v>
      </c>
      <c r="S100" s="75">
        <v>0</v>
      </c>
      <c r="T100" s="75">
        <v>0</v>
      </c>
      <c r="U100" s="97">
        <f t="shared" si="25"/>
        <v>127</v>
      </c>
      <c r="V100" s="97">
        <f t="shared" si="26"/>
        <v>127</v>
      </c>
      <c r="W100" s="97">
        <f t="shared" si="27"/>
        <v>243.04</v>
      </c>
      <c r="X100" s="97">
        <f t="shared" si="28"/>
        <v>240.56</v>
      </c>
      <c r="Y100" s="97">
        <f t="shared" si="29"/>
        <v>0</v>
      </c>
      <c r="Z100" s="97">
        <f t="shared" si="32"/>
        <v>0</v>
      </c>
      <c r="AA100" s="114">
        <f t="shared" si="30"/>
        <v>1.3226666666666763E-2</v>
      </c>
      <c r="AB100" s="114">
        <f t="shared" si="31"/>
        <v>1.9839999999999993E-2</v>
      </c>
    </row>
    <row r="101" spans="1:28" ht="57" hidden="1" x14ac:dyDescent="0.2">
      <c r="A101" s="155" t="s">
        <v>236</v>
      </c>
      <c r="B101" s="72" t="str">
        <f t="shared" si="23"/>
        <v>Building Envelope - High Performance Envelope (Recladding, Air Sealing, New Insulation) Strip Mall</v>
      </c>
      <c r="C101" s="73" t="s">
        <v>119</v>
      </c>
      <c r="D101" s="74" t="s">
        <v>94</v>
      </c>
      <c r="E101" s="75">
        <v>0.21</v>
      </c>
      <c r="F101" s="75">
        <v>0.3</v>
      </c>
      <c r="G101" s="75">
        <v>0.21</v>
      </c>
      <c r="H101" s="75">
        <v>0.3</v>
      </c>
      <c r="I101" s="75">
        <f t="shared" si="24"/>
        <v>0.255</v>
      </c>
      <c r="J101" s="109">
        <f>VLOOKUP(D101,'Existing Building EUI'!$B$7:$E$16,3,FALSE)</f>
        <v>127</v>
      </c>
      <c r="K101" s="109">
        <f>VLOOKUP(D101,'Existing Building EUI'!$B$7:$E$16,4,FALSE)</f>
        <v>248</v>
      </c>
      <c r="L101" s="109">
        <v>0</v>
      </c>
      <c r="M101" s="113">
        <v>0.25</v>
      </c>
      <c r="N101" s="75">
        <v>0.35</v>
      </c>
      <c r="O101" s="114">
        <v>0.18</v>
      </c>
      <c r="P101" s="114">
        <v>0.2</v>
      </c>
      <c r="Q101" s="75">
        <v>0</v>
      </c>
      <c r="R101" s="75">
        <v>0</v>
      </c>
      <c r="S101" s="75">
        <v>0</v>
      </c>
      <c r="T101" s="75">
        <v>0</v>
      </c>
      <c r="U101" s="97">
        <f t="shared" si="25"/>
        <v>95.25</v>
      </c>
      <c r="V101" s="97">
        <f t="shared" si="26"/>
        <v>82.550000000000011</v>
      </c>
      <c r="W101" s="97">
        <f t="shared" si="27"/>
        <v>203.36</v>
      </c>
      <c r="X101" s="97">
        <f t="shared" si="28"/>
        <v>198.4</v>
      </c>
      <c r="Y101" s="97">
        <f t="shared" si="29"/>
        <v>0</v>
      </c>
      <c r="Z101" s="97">
        <f t="shared" si="32"/>
        <v>0</v>
      </c>
      <c r="AA101" s="114">
        <f t="shared" si="30"/>
        <v>0.20370666666666662</v>
      </c>
      <c r="AB101" s="114">
        <f t="shared" si="31"/>
        <v>0.25079999999999986</v>
      </c>
    </row>
    <row r="102" spans="1:28" ht="42.75" hidden="1" x14ac:dyDescent="0.2">
      <c r="A102" s="155" t="s">
        <v>236</v>
      </c>
      <c r="B102" s="72" t="str">
        <f t="shared" ref="B102:B108" si="33">C102&amp;D102</f>
        <v>Building Envelope - High Performance Glazing with Enhanced Air SealingStrip Mall</v>
      </c>
      <c r="C102" s="73" t="s">
        <v>102</v>
      </c>
      <c r="D102" s="74" t="s">
        <v>94</v>
      </c>
      <c r="E102" s="75">
        <v>0.11</v>
      </c>
      <c r="F102" s="75">
        <v>0.2</v>
      </c>
      <c r="G102" s="75">
        <v>0.21</v>
      </c>
      <c r="H102" s="75">
        <v>0.3</v>
      </c>
      <c r="I102" s="75">
        <f t="shared" ref="I102:I108" si="34">AVERAGE(G102:H102)</f>
        <v>0.255</v>
      </c>
      <c r="J102" s="109">
        <f>VLOOKUP(D102,'Existing Building EUI'!$B$7:$E$16,3,FALSE)</f>
        <v>127</v>
      </c>
      <c r="K102" s="109">
        <f>VLOOKUP(D102,'Existing Building EUI'!$B$7:$E$16,4,FALSE)</f>
        <v>248</v>
      </c>
      <c r="L102" s="109">
        <v>0</v>
      </c>
      <c r="M102" s="113">
        <v>0.17</v>
      </c>
      <c r="N102" s="75">
        <v>0.2</v>
      </c>
      <c r="O102" s="114">
        <v>0.08</v>
      </c>
      <c r="P102" s="114">
        <v>0.15</v>
      </c>
      <c r="Q102" s="75">
        <v>0</v>
      </c>
      <c r="R102" s="75">
        <v>0</v>
      </c>
      <c r="S102" s="75">
        <v>0</v>
      </c>
      <c r="T102" s="75">
        <v>0</v>
      </c>
      <c r="U102" s="97">
        <f t="shared" ref="U102:U108" si="35">J102-(J102*M102)</f>
        <v>105.41</v>
      </c>
      <c r="V102" s="97">
        <f t="shared" ref="V102:V108" si="36">J102-(J102*N102)</f>
        <v>101.6</v>
      </c>
      <c r="W102" s="97">
        <f t="shared" ref="W102:W108" si="37">K102-((K102*O102)+(J102*S102))</f>
        <v>228.16</v>
      </c>
      <c r="X102" s="97">
        <f t="shared" ref="X102:X108" si="38">K102-((K102*P102)+(J102*T102))</f>
        <v>210.8</v>
      </c>
      <c r="Y102" s="97">
        <f t="shared" ref="Y102:Y108" si="39">(Q102*J102)*-1</f>
        <v>0</v>
      </c>
      <c r="Z102" s="97">
        <f t="shared" si="32"/>
        <v>0</v>
      </c>
      <c r="AA102" s="114">
        <f t="shared" ref="AA102:AA108" si="40">(SUM(U102,W102,Y102)-SUM(J102:K102))/SUM(J102:K102)*-1</f>
        <v>0.11048000000000002</v>
      </c>
      <c r="AB102" s="114">
        <f t="shared" ref="AB102:AB108" si="41">(SUM(V102,X102,Z102)-SUM(J102:K102))/SUM(J102:K102)*-1</f>
        <v>0.16693333333333341</v>
      </c>
    </row>
    <row r="103" spans="1:28" ht="28.5" x14ac:dyDescent="0.2">
      <c r="A103" s="155" t="s">
        <v>236</v>
      </c>
      <c r="B103" s="72" t="str">
        <f t="shared" si="33"/>
        <v>Domestic Hot Water - Electric Water HeaterStrip Mall</v>
      </c>
      <c r="C103" s="110" t="s">
        <v>115</v>
      </c>
      <c r="D103" s="74" t="s">
        <v>94</v>
      </c>
      <c r="E103" s="75">
        <v>0.01</v>
      </c>
      <c r="F103" s="75">
        <v>0.05</v>
      </c>
      <c r="G103" s="75">
        <v>0.01</v>
      </c>
      <c r="H103" s="75">
        <v>0.1</v>
      </c>
      <c r="I103" s="75">
        <f t="shared" si="34"/>
        <v>5.5E-2</v>
      </c>
      <c r="J103" s="109">
        <f>VLOOKUP(D103,'Existing Building EUI'!$B$7:$E$16,3,FALSE)</f>
        <v>127</v>
      </c>
      <c r="K103" s="109">
        <f>VLOOKUP(D103,'Existing Building EUI'!$B$7:$E$16,4,FALSE)</f>
        <v>248</v>
      </c>
      <c r="L103" s="109">
        <v>0</v>
      </c>
      <c r="M103" s="113">
        <v>0.02</v>
      </c>
      <c r="N103" s="75">
        <v>0.2</v>
      </c>
      <c r="O103" s="114">
        <v>0</v>
      </c>
      <c r="P103" s="114">
        <v>0</v>
      </c>
      <c r="Q103" s="75">
        <v>0</v>
      </c>
      <c r="R103" s="75">
        <v>0</v>
      </c>
      <c r="S103" s="98">
        <f>M103/-4</f>
        <v>-5.0000000000000001E-3</v>
      </c>
      <c r="T103" s="98">
        <f>N103/-4</f>
        <v>-0.05</v>
      </c>
      <c r="U103" s="97">
        <f t="shared" si="35"/>
        <v>124.46</v>
      </c>
      <c r="V103" s="97">
        <f t="shared" si="36"/>
        <v>101.6</v>
      </c>
      <c r="W103" s="97">
        <f t="shared" si="37"/>
        <v>248.63499999999999</v>
      </c>
      <c r="X103" s="97">
        <f t="shared" si="38"/>
        <v>254.35</v>
      </c>
      <c r="Y103" s="97">
        <f t="shared" si="39"/>
        <v>0</v>
      </c>
      <c r="Z103" s="97">
        <f t="shared" si="32"/>
        <v>0</v>
      </c>
      <c r="AA103" s="114">
        <f t="shared" si="40"/>
        <v>5.0800000000000792E-3</v>
      </c>
      <c r="AB103" s="114">
        <f t="shared" si="41"/>
        <v>5.0800000000000033E-2</v>
      </c>
    </row>
    <row r="104" spans="1:28" ht="57" hidden="1" x14ac:dyDescent="0.2">
      <c r="A104" s="155" t="s">
        <v>236</v>
      </c>
      <c r="B104" s="72" t="str">
        <f t="shared" si="33"/>
        <v>Heating &amp; Cooling System - Rooftop Air Source Heat Pumps with Backup Electric HeatStrip Mall</v>
      </c>
      <c r="C104" s="110" t="s">
        <v>116</v>
      </c>
      <c r="D104" s="74" t="s">
        <v>94</v>
      </c>
      <c r="E104" s="75">
        <v>0.12</v>
      </c>
      <c r="F104" s="75">
        <v>0.25</v>
      </c>
      <c r="G104" s="75">
        <v>0.2</v>
      </c>
      <c r="H104" s="75">
        <v>0.55000000000000004</v>
      </c>
      <c r="I104" s="75">
        <f t="shared" si="34"/>
        <v>0.375</v>
      </c>
      <c r="J104" s="109">
        <f>VLOOKUP(D104,'Existing Building EUI'!$B$7:$E$16,3,FALSE)</f>
        <v>127</v>
      </c>
      <c r="K104" s="109">
        <f>VLOOKUP(D104,'Existing Building EUI'!$B$7:$E$16,4,FALSE)</f>
        <v>248</v>
      </c>
      <c r="L104" s="109">
        <v>0</v>
      </c>
      <c r="M104" s="113">
        <v>0.8</v>
      </c>
      <c r="N104" s="75">
        <v>0.97</v>
      </c>
      <c r="O104" s="114">
        <v>0.08</v>
      </c>
      <c r="P104" s="114">
        <v>0.1</v>
      </c>
      <c r="Q104" s="75">
        <v>0</v>
      </c>
      <c r="R104" s="75">
        <v>0</v>
      </c>
      <c r="S104" s="98">
        <f>M104/-2</f>
        <v>-0.4</v>
      </c>
      <c r="T104" s="98">
        <f>N104/-2</f>
        <v>-0.48499999999999999</v>
      </c>
      <c r="U104" s="97">
        <f t="shared" si="35"/>
        <v>25.399999999999991</v>
      </c>
      <c r="V104" s="97">
        <f t="shared" si="36"/>
        <v>3.8100000000000023</v>
      </c>
      <c r="W104" s="97">
        <f t="shared" si="37"/>
        <v>278.95999999999998</v>
      </c>
      <c r="X104" s="97">
        <f t="shared" si="38"/>
        <v>284.79500000000002</v>
      </c>
      <c r="Y104" s="97">
        <f t="shared" si="39"/>
        <v>0</v>
      </c>
      <c r="Z104" s="97">
        <f t="shared" si="32"/>
        <v>0</v>
      </c>
      <c r="AA104" s="114">
        <f t="shared" si="40"/>
        <v>0.18837333333333345</v>
      </c>
      <c r="AB104" s="114">
        <f t="shared" si="41"/>
        <v>0.23038666666666663</v>
      </c>
    </row>
    <row r="105" spans="1:28" ht="15" hidden="1" x14ac:dyDescent="0.2">
      <c r="A105" s="155" t="s">
        <v>236</v>
      </c>
      <c r="B105" s="72" t="str">
        <f t="shared" si="33"/>
        <v>Lighting and Lighting ControlsStrip Mall</v>
      </c>
      <c r="C105" s="73" t="s">
        <v>110</v>
      </c>
      <c r="D105" s="74" t="s">
        <v>94</v>
      </c>
      <c r="E105" s="75">
        <v>0.01</v>
      </c>
      <c r="F105" s="75">
        <v>0.1</v>
      </c>
      <c r="G105" s="75">
        <v>0.01</v>
      </c>
      <c r="H105" s="75">
        <v>0.1</v>
      </c>
      <c r="I105" s="75">
        <f t="shared" si="34"/>
        <v>5.5E-2</v>
      </c>
      <c r="J105" s="109">
        <f>VLOOKUP(D105,'Existing Building EUI'!$B$7:$E$16,3,FALSE)</f>
        <v>127</v>
      </c>
      <c r="K105" s="109">
        <f>VLOOKUP(D105,'Existing Building EUI'!$B$7:$E$16,4,FALSE)</f>
        <v>248</v>
      </c>
      <c r="L105" s="109">
        <v>0</v>
      </c>
      <c r="M105" s="113">
        <v>0</v>
      </c>
      <c r="N105" s="75">
        <v>0</v>
      </c>
      <c r="O105" s="114">
        <v>0.01</v>
      </c>
      <c r="P105" s="114">
        <v>0.15</v>
      </c>
      <c r="Q105" s="75">
        <v>0</v>
      </c>
      <c r="R105" s="75">
        <v>0</v>
      </c>
      <c r="S105" s="75">
        <v>0</v>
      </c>
      <c r="T105" s="75">
        <v>0</v>
      </c>
      <c r="U105" s="97">
        <f t="shared" si="35"/>
        <v>127</v>
      </c>
      <c r="V105" s="97">
        <f t="shared" si="36"/>
        <v>127</v>
      </c>
      <c r="W105" s="97">
        <f t="shared" si="37"/>
        <v>245.52</v>
      </c>
      <c r="X105" s="97">
        <f t="shared" si="38"/>
        <v>210.8</v>
      </c>
      <c r="Y105" s="97">
        <f t="shared" si="39"/>
        <v>0</v>
      </c>
      <c r="Z105" s="97">
        <f t="shared" si="32"/>
        <v>0</v>
      </c>
      <c r="AA105" s="114">
        <f t="shared" si="40"/>
        <v>6.6133333333333816E-3</v>
      </c>
      <c r="AB105" s="114">
        <f t="shared" si="41"/>
        <v>9.9199999999999969E-2</v>
      </c>
    </row>
    <row r="106" spans="1:28" ht="15" hidden="1" x14ac:dyDescent="0.2">
      <c r="A106" s="155" t="s">
        <v>236</v>
      </c>
      <c r="B106" s="72" t="str">
        <f t="shared" si="33"/>
        <v>Renewables - Solar PVStrip Mall</v>
      </c>
      <c r="C106" s="73" t="s">
        <v>111</v>
      </c>
      <c r="D106" s="74" t="s">
        <v>94</v>
      </c>
      <c r="E106" s="75">
        <v>0.01</v>
      </c>
      <c r="F106" s="75">
        <v>0.1</v>
      </c>
      <c r="G106" s="75">
        <v>0.01</v>
      </c>
      <c r="H106" s="75">
        <v>0.03</v>
      </c>
      <c r="I106" s="75">
        <f t="shared" si="34"/>
        <v>0.02</v>
      </c>
      <c r="J106" s="109">
        <f>VLOOKUP(D106,'Existing Building EUI'!$B$7:$E$16,3,FALSE)</f>
        <v>127</v>
      </c>
      <c r="K106" s="109">
        <f>VLOOKUP(D106,'Existing Building EUI'!$B$7:$E$16,4,FALSE)</f>
        <v>248</v>
      </c>
      <c r="L106" s="109">
        <v>0</v>
      </c>
      <c r="M106" s="113">
        <v>0</v>
      </c>
      <c r="N106" s="75">
        <v>0</v>
      </c>
      <c r="O106" s="114">
        <v>0.02</v>
      </c>
      <c r="P106" s="114">
        <v>0.15</v>
      </c>
      <c r="Q106" s="75">
        <v>0</v>
      </c>
      <c r="R106" s="75">
        <v>0</v>
      </c>
      <c r="S106" s="75">
        <v>0</v>
      </c>
      <c r="T106" s="75">
        <v>0</v>
      </c>
      <c r="U106" s="97">
        <f t="shared" si="35"/>
        <v>127</v>
      </c>
      <c r="V106" s="97">
        <f t="shared" si="36"/>
        <v>127</v>
      </c>
      <c r="W106" s="97">
        <f t="shared" si="37"/>
        <v>243.04</v>
      </c>
      <c r="X106" s="97">
        <f t="shared" si="38"/>
        <v>210.8</v>
      </c>
      <c r="Y106" s="97">
        <f t="shared" si="39"/>
        <v>0</v>
      </c>
      <c r="Z106" s="97">
        <f t="shared" si="32"/>
        <v>0</v>
      </c>
      <c r="AA106" s="114">
        <f t="shared" si="40"/>
        <v>1.3226666666666763E-2</v>
      </c>
      <c r="AB106" s="114">
        <f t="shared" si="41"/>
        <v>9.9199999999999969E-2</v>
      </c>
    </row>
    <row r="107" spans="1:28" ht="28.5" hidden="1" x14ac:dyDescent="0.2">
      <c r="A107" s="155" t="s">
        <v>236</v>
      </c>
      <c r="B107" s="72" t="str">
        <f t="shared" si="33"/>
        <v>Ventilation Systems - Energy Recovery Ventilator (ERV)Strip Mall</v>
      </c>
      <c r="C107" s="73" t="s">
        <v>108</v>
      </c>
      <c r="D107" s="74" t="s">
        <v>94</v>
      </c>
      <c r="E107" s="75">
        <v>0.01</v>
      </c>
      <c r="F107" s="75">
        <v>0.05</v>
      </c>
      <c r="G107" s="75">
        <v>0.01</v>
      </c>
      <c r="H107" s="75">
        <v>0.1</v>
      </c>
      <c r="I107" s="75">
        <f t="shared" si="34"/>
        <v>5.5E-2</v>
      </c>
      <c r="J107" s="109">
        <f>VLOOKUP(D107,'Existing Building EUI'!$B$7:$E$16,3,FALSE)</f>
        <v>127</v>
      </c>
      <c r="K107" s="109">
        <f>VLOOKUP(D107,'Existing Building EUI'!$B$7:$E$16,4,FALSE)</f>
        <v>248</v>
      </c>
      <c r="L107" s="109">
        <v>0</v>
      </c>
      <c r="M107" s="113">
        <v>0.01</v>
      </c>
      <c r="N107" s="75">
        <v>0.05</v>
      </c>
      <c r="O107" s="114">
        <v>0.01</v>
      </c>
      <c r="P107" s="114">
        <v>0.05</v>
      </c>
      <c r="Q107" s="75">
        <v>0</v>
      </c>
      <c r="R107" s="75">
        <v>0</v>
      </c>
      <c r="S107" s="98">
        <v>0</v>
      </c>
      <c r="T107" s="98">
        <v>0</v>
      </c>
      <c r="U107" s="97">
        <f t="shared" si="35"/>
        <v>125.73</v>
      </c>
      <c r="V107" s="97">
        <f t="shared" si="36"/>
        <v>120.65</v>
      </c>
      <c r="W107" s="97">
        <f t="shared" si="37"/>
        <v>245.52</v>
      </c>
      <c r="X107" s="97">
        <f t="shared" si="38"/>
        <v>235.6</v>
      </c>
      <c r="Y107" s="97">
        <f t="shared" si="39"/>
        <v>0</v>
      </c>
      <c r="Z107" s="97">
        <f t="shared" si="32"/>
        <v>0</v>
      </c>
      <c r="AA107" s="114">
        <f t="shared" si="40"/>
        <v>0.01</v>
      </c>
      <c r="AB107" s="114">
        <f t="shared" si="41"/>
        <v>0.05</v>
      </c>
    </row>
    <row r="108" spans="1:28" ht="28.5" hidden="1" x14ac:dyDescent="0.2">
      <c r="A108" s="155" t="s">
        <v>236</v>
      </c>
      <c r="B108" s="72" t="str">
        <f t="shared" si="33"/>
        <v>Renewables - Solar ThermalEducational Facility</v>
      </c>
      <c r="C108" s="73" t="s">
        <v>112</v>
      </c>
      <c r="D108" s="74" t="s">
        <v>92</v>
      </c>
      <c r="E108" s="75">
        <v>0.01</v>
      </c>
      <c r="F108" s="75">
        <v>0.1</v>
      </c>
      <c r="G108" s="75">
        <v>0.01</v>
      </c>
      <c r="H108" s="75">
        <v>0.03</v>
      </c>
      <c r="I108" s="75">
        <f t="shared" si="34"/>
        <v>0.02</v>
      </c>
      <c r="J108" s="109">
        <f>VLOOKUP(D108,'Existing Building EUI'!$B$7:$E$16,3,FALSE)</f>
        <v>201</v>
      </c>
      <c r="K108" s="109">
        <f>VLOOKUP(D108,'Existing Building EUI'!$B$7:$E$16,4,FALSE)</f>
        <v>284</v>
      </c>
      <c r="L108" s="109">
        <v>0</v>
      </c>
      <c r="M108" s="113">
        <v>0.02</v>
      </c>
      <c r="N108" s="75">
        <v>0.1</v>
      </c>
      <c r="O108" s="114">
        <v>0</v>
      </c>
      <c r="P108" s="114">
        <v>0</v>
      </c>
      <c r="Q108" s="75">
        <v>0</v>
      </c>
      <c r="R108" s="75">
        <v>0</v>
      </c>
      <c r="S108" s="75">
        <v>0</v>
      </c>
      <c r="T108" s="75">
        <v>0</v>
      </c>
      <c r="U108" s="97">
        <f t="shared" si="35"/>
        <v>196.98</v>
      </c>
      <c r="V108" s="97">
        <f t="shared" si="36"/>
        <v>180.9</v>
      </c>
      <c r="W108" s="97">
        <f t="shared" si="37"/>
        <v>284</v>
      </c>
      <c r="X108" s="97">
        <f t="shared" si="38"/>
        <v>284</v>
      </c>
      <c r="Y108" s="97">
        <f t="shared" si="39"/>
        <v>0</v>
      </c>
      <c r="Z108" s="97">
        <f t="shared" si="32"/>
        <v>0</v>
      </c>
      <c r="AA108" s="114">
        <f t="shared" si="40"/>
        <v>8.2886597938143947E-3</v>
      </c>
      <c r="AB108" s="114">
        <f t="shared" si="41"/>
        <v>4.1443298969072215E-2</v>
      </c>
    </row>
  </sheetData>
  <autoFilter ref="B5:AB108" xr:uid="{756AC6D2-12FB-47C5-BCC9-C19E09B1375B}">
    <filterColumn colId="1">
      <filters>
        <filter val="Domestic Hot Water - Electric Water Heater"/>
        <filter val="Domestic Hot Water - Heat pump and electric resistance water heaters"/>
      </filters>
    </filterColumn>
    <sortState xmlns:xlrd2="http://schemas.microsoft.com/office/spreadsheetml/2017/richdata2" ref="B89:AB91">
      <sortCondition ref="C5:C107"/>
    </sortState>
  </autoFilter>
  <conditionalFormatting sqref="E6:I108">
    <cfRule type="containsBlanks" dxfId="55" priority="26">
      <formula>LEN(TRIM(E6))=0</formula>
    </cfRule>
  </conditionalFormatting>
  <conditionalFormatting sqref="J56:L88">
    <cfRule type="containsBlanks" dxfId="54" priority="212">
      <formula>LEN(TRIM(J56))=0</formula>
    </cfRule>
  </conditionalFormatting>
  <conditionalFormatting sqref="J89:N107">
    <cfRule type="containsBlanks" dxfId="53" priority="122">
      <formula>LEN(TRIM(J89))=0</formula>
    </cfRule>
  </conditionalFormatting>
  <conditionalFormatting sqref="J6:Z55">
    <cfRule type="containsBlanks" dxfId="52" priority="108">
      <formula>LEN(TRIM(J6))=0</formula>
    </cfRule>
  </conditionalFormatting>
  <conditionalFormatting sqref="J108:Z108">
    <cfRule type="containsBlanks" dxfId="51" priority="23">
      <formula>LEN(TRIM(J108))=0</formula>
    </cfRule>
  </conditionalFormatting>
  <conditionalFormatting sqref="M64:R67">
    <cfRule type="containsBlanks" dxfId="50" priority="360">
      <formula>LEN(TRIM(M64))=0</formula>
    </cfRule>
  </conditionalFormatting>
  <conditionalFormatting sqref="M70:R71">
    <cfRule type="containsBlanks" dxfId="49" priority="342">
      <formula>LEN(TRIM(M70))=0</formula>
    </cfRule>
  </conditionalFormatting>
  <conditionalFormatting sqref="M74:R78">
    <cfRule type="containsBlanks" dxfId="48" priority="288">
      <formula>LEN(TRIM(M74))=0</formula>
    </cfRule>
  </conditionalFormatting>
  <conditionalFormatting sqref="M81:R83">
    <cfRule type="containsBlanks" dxfId="47" priority="270">
      <formula>LEN(TRIM(M81))=0</formula>
    </cfRule>
  </conditionalFormatting>
  <conditionalFormatting sqref="M86:R87">
    <cfRule type="containsBlanks" dxfId="46" priority="252">
      <formula>LEN(TRIM(M86))=0</formula>
    </cfRule>
  </conditionalFormatting>
  <conditionalFormatting sqref="M68:X69">
    <cfRule type="containsBlanks" dxfId="45" priority="350">
      <formula>LEN(TRIM(M68))=0</formula>
    </cfRule>
  </conditionalFormatting>
  <conditionalFormatting sqref="M72:X73">
    <cfRule type="containsBlanks" dxfId="44" priority="332">
      <formula>LEN(TRIM(M72))=0</formula>
    </cfRule>
  </conditionalFormatting>
  <conditionalFormatting sqref="M79:X80">
    <cfRule type="containsBlanks" dxfId="43" priority="278">
      <formula>LEN(TRIM(M79))=0</formula>
    </cfRule>
  </conditionalFormatting>
  <conditionalFormatting sqref="M84:X85">
    <cfRule type="containsBlanks" dxfId="42" priority="260">
      <formula>LEN(TRIM(M84))=0</formula>
    </cfRule>
  </conditionalFormatting>
  <conditionalFormatting sqref="M88:X88">
    <cfRule type="containsBlanks" dxfId="41" priority="256">
      <formula>LEN(TRIM(M88))=0</formula>
    </cfRule>
  </conditionalFormatting>
  <conditionalFormatting sqref="M56:Z63">
    <cfRule type="containsBlanks" dxfId="40" priority="388">
      <formula>LEN(TRIM(M56))=0</formula>
    </cfRule>
  </conditionalFormatting>
  <conditionalFormatting sqref="O99:R103">
    <cfRule type="containsBlanks" dxfId="39" priority="112">
      <formula>LEN(TRIM(O99))=0</formula>
    </cfRule>
  </conditionalFormatting>
  <conditionalFormatting sqref="O104:T107">
    <cfRule type="containsBlanks" dxfId="38" priority="124">
      <formula>LEN(TRIM(O104))=0</formula>
    </cfRule>
  </conditionalFormatting>
  <conditionalFormatting sqref="O89:Z98">
    <cfRule type="containsBlanks" dxfId="37" priority="169">
      <formula>LEN(TRIM(O89))=0</formula>
    </cfRule>
  </conditionalFormatting>
  <conditionalFormatting sqref="S100:T103">
    <cfRule type="containsBlanks" dxfId="36" priority="138">
      <formula>LEN(TRIM(S100))=0</formula>
    </cfRule>
  </conditionalFormatting>
  <conditionalFormatting sqref="S67:X67">
    <cfRule type="containsBlanks" dxfId="35" priority="355">
      <formula>LEN(TRIM(S67))=0</formula>
    </cfRule>
  </conditionalFormatting>
  <conditionalFormatting sqref="S71:X71">
    <cfRule type="containsBlanks" dxfId="34" priority="337">
      <formula>LEN(TRIM(S71))=0</formula>
    </cfRule>
  </conditionalFormatting>
  <conditionalFormatting sqref="S76:X78 S86:Z86">
    <cfRule type="containsBlanks" dxfId="33" priority="192">
      <formula>LEN(TRIM(S76))=0</formula>
    </cfRule>
  </conditionalFormatting>
  <conditionalFormatting sqref="S83:X83">
    <cfRule type="containsBlanks" dxfId="32" priority="265">
      <formula>LEN(TRIM(S83))=0</formula>
    </cfRule>
  </conditionalFormatting>
  <conditionalFormatting sqref="S87:X87">
    <cfRule type="containsBlanks" dxfId="31" priority="247">
      <formula>LEN(TRIM(S87))=0</formula>
    </cfRule>
  </conditionalFormatting>
  <conditionalFormatting sqref="S64:Z66">
    <cfRule type="containsBlanks" dxfId="30" priority="223">
      <formula>LEN(TRIM(S64))=0</formula>
    </cfRule>
  </conditionalFormatting>
  <conditionalFormatting sqref="S70:Z70 S74:Z75 S81:Z82">
    <cfRule type="containsBlanks" dxfId="29" priority="222">
      <formula>LEN(TRIM(S70))=0</formula>
    </cfRule>
  </conditionalFormatting>
  <conditionalFormatting sqref="S99:Z99">
    <cfRule type="containsBlanks" dxfId="28" priority="165">
      <formula>LEN(TRIM(S99))=0</formula>
    </cfRule>
  </conditionalFormatting>
  <conditionalFormatting sqref="U100:Z107">
    <cfRule type="containsBlanks" dxfId="27" priority="121">
      <formula>LEN(TRIM(U100))=0</formula>
    </cfRule>
  </conditionalFormatting>
  <conditionalFormatting sqref="Y67:Z69">
    <cfRule type="containsBlanks" dxfId="26" priority="334">
      <formula>LEN(TRIM(Y67))=0</formula>
    </cfRule>
  </conditionalFormatting>
  <conditionalFormatting sqref="Y71:Z73">
    <cfRule type="containsBlanks" dxfId="25" priority="316">
      <formula>LEN(TRIM(Y71))=0</formula>
    </cfRule>
  </conditionalFormatting>
  <conditionalFormatting sqref="Y76:Z80">
    <cfRule type="containsBlanks" dxfId="24" priority="262">
      <formula>LEN(TRIM(Y76))=0</formula>
    </cfRule>
  </conditionalFormatting>
  <conditionalFormatting sqref="Y83:Z85">
    <cfRule type="containsBlanks" dxfId="23" priority="244">
      <formula>LEN(TRIM(Y83))=0</formula>
    </cfRule>
  </conditionalFormatting>
  <conditionalFormatting sqref="Y87:Z88">
    <cfRule type="containsBlanks" dxfId="22" priority="245">
      <formula>LEN(TRIM(Y87))=0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6714-F594-42BA-94FA-04B572BD3645}">
  <sheetPr filterMode="1">
    <tabColor theme="9" tint="0.39997558519241921"/>
  </sheetPr>
  <dimension ref="A2:DE123"/>
  <sheetViews>
    <sheetView topLeftCell="A66" zoomScale="115" zoomScaleNormal="115" workbookViewId="0"/>
  </sheetViews>
  <sheetFormatPr defaultRowHeight="14.25" x14ac:dyDescent="0.2"/>
  <cols>
    <col min="1" max="1" width="9.140625" style="67"/>
    <col min="2" max="2" width="37.85546875" style="67" customWidth="1"/>
    <col min="3" max="3" width="28.7109375" style="67" customWidth="1"/>
    <col min="4" max="4" width="22.7109375" style="67" customWidth="1"/>
    <col min="5" max="6" width="9.42578125" style="67" hidden="1" customWidth="1"/>
    <col min="7" max="11" width="9.42578125" style="69" hidden="1" customWidth="1"/>
    <col min="12" max="12" width="10.85546875" style="69" hidden="1" customWidth="1"/>
    <col min="13" max="13" width="9.42578125" style="69" customWidth="1"/>
    <col min="14" max="14" width="15.42578125" style="69" customWidth="1"/>
    <col min="15" max="15" width="13.42578125" style="69" customWidth="1"/>
    <col min="16" max="16" width="9.42578125" style="69" customWidth="1"/>
    <col min="17" max="18" width="9.42578125" style="112" customWidth="1"/>
    <col min="19" max="20" width="9.42578125" style="67" customWidth="1"/>
    <col min="21" max="28" width="9.42578125" style="67" hidden="1" customWidth="1"/>
    <col min="29" max="16384" width="9.140625" style="67"/>
  </cols>
  <sheetData>
    <row r="2" spans="1:109" ht="15" x14ac:dyDescent="0.25">
      <c r="B2" s="68" t="s">
        <v>97</v>
      </c>
    </row>
    <row r="3" spans="1:109" x14ac:dyDescent="0.2">
      <c r="B3" s="67" t="s">
        <v>87</v>
      </c>
    </row>
    <row r="4" spans="1:109" x14ac:dyDescent="0.2">
      <c r="B4" s="67" cm="1">
        <f t="array" ref="B4:DE4">COLUMN(B4:DE4)-1</f>
        <v>1</v>
      </c>
      <c r="C4" s="67">
        <v>2</v>
      </c>
      <c r="D4" s="67">
        <v>3</v>
      </c>
      <c r="E4" s="67">
        <v>4</v>
      </c>
      <c r="F4" s="67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9">
        <v>14</v>
      </c>
      <c r="P4" s="69">
        <v>15</v>
      </c>
      <c r="Q4" s="69">
        <v>16</v>
      </c>
      <c r="R4" s="69">
        <v>17</v>
      </c>
      <c r="S4" s="69">
        <v>18</v>
      </c>
      <c r="T4" s="67">
        <v>19</v>
      </c>
      <c r="U4" s="67">
        <v>20</v>
      </c>
      <c r="V4" s="67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67">
        <v>32</v>
      </c>
      <c r="AH4" s="67">
        <v>33</v>
      </c>
      <c r="AI4" s="67">
        <v>34</v>
      </c>
      <c r="AJ4" s="67">
        <v>35</v>
      </c>
      <c r="AK4" s="67">
        <v>36</v>
      </c>
      <c r="AL4" s="67">
        <v>37</v>
      </c>
      <c r="AM4" s="67">
        <v>38</v>
      </c>
      <c r="AN4" s="67">
        <v>39</v>
      </c>
      <c r="AO4" s="67">
        <v>40</v>
      </c>
      <c r="AP4" s="67">
        <v>41</v>
      </c>
      <c r="AQ4" s="67">
        <v>42</v>
      </c>
      <c r="AR4" s="67">
        <v>43</v>
      </c>
      <c r="AS4" s="67">
        <v>44</v>
      </c>
      <c r="AT4" s="67">
        <v>45</v>
      </c>
      <c r="AU4" s="67">
        <v>46</v>
      </c>
      <c r="AV4" s="67">
        <v>47</v>
      </c>
      <c r="AW4" s="67">
        <v>48</v>
      </c>
      <c r="AX4" s="67">
        <v>49</v>
      </c>
      <c r="AY4" s="67">
        <v>50</v>
      </c>
      <c r="AZ4" s="67">
        <v>51</v>
      </c>
      <c r="BA4" s="67">
        <v>52</v>
      </c>
      <c r="BB4" s="67">
        <v>53</v>
      </c>
      <c r="BC4" s="67">
        <v>54</v>
      </c>
      <c r="BD4" s="67">
        <v>55</v>
      </c>
      <c r="BE4" s="67">
        <v>56</v>
      </c>
      <c r="BF4" s="67">
        <v>57</v>
      </c>
      <c r="BG4" s="67">
        <v>58</v>
      </c>
      <c r="BH4" s="67">
        <v>59</v>
      </c>
      <c r="BI4" s="67">
        <v>60</v>
      </c>
      <c r="BJ4" s="67">
        <v>61</v>
      </c>
      <c r="BK4" s="67">
        <v>62</v>
      </c>
      <c r="BL4" s="67">
        <v>63</v>
      </c>
      <c r="BM4" s="67">
        <v>64</v>
      </c>
      <c r="BN4" s="67">
        <v>65</v>
      </c>
      <c r="BO4" s="67">
        <v>66</v>
      </c>
      <c r="BP4" s="67">
        <v>67</v>
      </c>
      <c r="BQ4" s="67">
        <v>68</v>
      </c>
      <c r="BR4" s="67">
        <v>69</v>
      </c>
      <c r="BS4" s="67">
        <v>70</v>
      </c>
      <c r="BT4" s="67">
        <v>71</v>
      </c>
      <c r="BU4" s="67">
        <v>72</v>
      </c>
      <c r="BV4" s="67">
        <v>73</v>
      </c>
      <c r="BW4" s="67">
        <v>74</v>
      </c>
      <c r="BX4" s="67">
        <v>75</v>
      </c>
      <c r="BY4" s="67">
        <v>76</v>
      </c>
      <c r="BZ4" s="67">
        <v>77</v>
      </c>
      <c r="CA4" s="67">
        <v>78</v>
      </c>
      <c r="CB4" s="67">
        <v>79</v>
      </c>
      <c r="CC4" s="67">
        <v>80</v>
      </c>
      <c r="CD4" s="67">
        <v>81</v>
      </c>
      <c r="CE4" s="67">
        <v>82</v>
      </c>
      <c r="CF4" s="67">
        <v>83</v>
      </c>
      <c r="CG4" s="67">
        <v>84</v>
      </c>
      <c r="CH4" s="67">
        <v>85</v>
      </c>
      <c r="CI4" s="67">
        <v>86</v>
      </c>
      <c r="CJ4" s="67">
        <v>87</v>
      </c>
      <c r="CK4" s="67">
        <v>88</v>
      </c>
      <c r="CL4" s="67">
        <v>89</v>
      </c>
      <c r="CM4" s="67">
        <v>90</v>
      </c>
      <c r="CN4" s="67">
        <v>91</v>
      </c>
      <c r="CO4" s="67">
        <v>92</v>
      </c>
      <c r="CP4" s="67">
        <v>93</v>
      </c>
      <c r="CQ4" s="67">
        <v>94</v>
      </c>
      <c r="CR4" s="67">
        <v>95</v>
      </c>
      <c r="CS4" s="67">
        <v>96</v>
      </c>
      <c r="CT4" s="67">
        <v>97</v>
      </c>
      <c r="CU4" s="67">
        <v>98</v>
      </c>
      <c r="CV4" s="67">
        <v>99</v>
      </c>
      <c r="CW4" s="67">
        <v>100</v>
      </c>
      <c r="CX4" s="67">
        <v>101</v>
      </c>
      <c r="CY4" s="67">
        <v>102</v>
      </c>
      <c r="CZ4" s="67">
        <v>103</v>
      </c>
      <c r="DA4" s="67">
        <v>104</v>
      </c>
      <c r="DB4" s="67">
        <v>105</v>
      </c>
      <c r="DC4" s="67">
        <v>106</v>
      </c>
      <c r="DD4" s="67">
        <v>107</v>
      </c>
      <c r="DE4" s="67">
        <v>108</v>
      </c>
    </row>
    <row r="5" spans="1:109" ht="60" x14ac:dyDescent="0.2">
      <c r="A5" s="127" t="s">
        <v>98</v>
      </c>
      <c r="B5" s="127" t="s">
        <v>98</v>
      </c>
      <c r="C5" s="128" t="s">
        <v>251</v>
      </c>
      <c r="D5" s="127" t="s">
        <v>19</v>
      </c>
      <c r="E5" s="127" t="s">
        <v>99</v>
      </c>
      <c r="F5" s="127" t="s">
        <v>100</v>
      </c>
      <c r="G5" s="71" t="s">
        <v>64</v>
      </c>
      <c r="H5" s="71" t="s">
        <v>65</v>
      </c>
      <c r="I5" s="71" t="s">
        <v>101</v>
      </c>
      <c r="J5" s="71" t="s">
        <v>177</v>
      </c>
      <c r="K5" s="71" t="s">
        <v>178</v>
      </c>
      <c r="L5" s="71" t="s">
        <v>227</v>
      </c>
      <c r="M5" s="71" t="s">
        <v>179</v>
      </c>
      <c r="N5" s="71" t="s">
        <v>180</v>
      </c>
      <c r="O5" s="71" t="s">
        <v>181</v>
      </c>
      <c r="P5" s="71" t="s">
        <v>182</v>
      </c>
      <c r="Q5" s="71" t="s">
        <v>229</v>
      </c>
      <c r="R5" s="71" t="s">
        <v>230</v>
      </c>
      <c r="S5" s="71" t="s">
        <v>183</v>
      </c>
      <c r="T5" s="71" t="s">
        <v>184</v>
      </c>
      <c r="U5" s="71" t="s">
        <v>185</v>
      </c>
      <c r="V5" s="71" t="s">
        <v>186</v>
      </c>
      <c r="W5" s="71" t="s">
        <v>187</v>
      </c>
      <c r="X5" s="71" t="s">
        <v>188</v>
      </c>
      <c r="Y5" s="71" t="s">
        <v>189</v>
      </c>
      <c r="Z5" s="71" t="s">
        <v>190</v>
      </c>
      <c r="AA5" s="71" t="s">
        <v>191</v>
      </c>
      <c r="AB5" s="71" t="s">
        <v>192</v>
      </c>
    </row>
    <row r="6" spans="1:109" s="123" customFormat="1" ht="15" hidden="1" x14ac:dyDescent="0.25">
      <c r="A6" s="161" t="s">
        <v>237</v>
      </c>
      <c r="B6" s="116" t="str">
        <f t="shared" ref="B6:B37" si="0">C6&amp;D6</f>
        <v>[D] Appliance UpgradesBig Box Store</v>
      </c>
      <c r="C6" s="156" t="s">
        <v>252</v>
      </c>
      <c r="D6" s="157" t="s">
        <v>93</v>
      </c>
      <c r="E6" s="119">
        <v>0.01</v>
      </c>
      <c r="F6" s="119">
        <v>0.1</v>
      </c>
      <c r="G6" s="119">
        <v>0.01</v>
      </c>
      <c r="H6" s="119">
        <v>0.1</v>
      </c>
      <c r="I6" s="119">
        <f t="shared" ref="I6:I30" si="1">AVERAGE(G6:H6)</f>
        <v>5.5E-2</v>
      </c>
      <c r="J6" s="120">
        <v>0</v>
      </c>
      <c r="K6" s="120">
        <f>VLOOKUP(D6,'Existing Building EUI'!$B$7:$E$16,4,FALSE)</f>
        <v>231</v>
      </c>
      <c r="L6" s="120">
        <f>VLOOKUP(D6,'Existing Building EUI'!$B$7:$E$16,3,FALSE)*0.8</f>
        <v>127.2</v>
      </c>
      <c r="M6" s="158">
        <v>0</v>
      </c>
      <c r="N6" s="119">
        <v>0</v>
      </c>
      <c r="O6" s="159">
        <v>0.02</v>
      </c>
      <c r="P6" s="159">
        <v>0.16500000000000001</v>
      </c>
      <c r="Q6" s="119">
        <v>0</v>
      </c>
      <c r="R6" s="119">
        <v>0</v>
      </c>
      <c r="S6" s="119">
        <v>0</v>
      </c>
      <c r="T6" s="119">
        <v>0</v>
      </c>
      <c r="U6" s="160">
        <f t="shared" ref="U6:U37" si="2">J6-(J6*M6)</f>
        <v>0</v>
      </c>
      <c r="V6" s="160">
        <f t="shared" ref="V6:V37" si="3">J6-(J6*N6)</f>
        <v>0</v>
      </c>
      <c r="W6" s="160">
        <f t="shared" ref="W6:W37" si="4">K6-((K6*O6)+(J6*S6))</f>
        <v>226.38</v>
      </c>
      <c r="X6" s="160">
        <f t="shared" ref="X6:X37" si="5">K6-((K6*P6)+(J6*T6))</f>
        <v>192.88499999999999</v>
      </c>
      <c r="Y6" s="160">
        <f t="shared" ref="Y6:Y37" si="6">(1-Q6)*L6</f>
        <v>127.2</v>
      </c>
      <c r="Z6" s="160">
        <f t="shared" ref="Z6:Z37" si="7">(1-R6)*L6</f>
        <v>127.2</v>
      </c>
      <c r="AA6" s="159">
        <f t="shared" ref="AA6:AA37" si="8">(SUM(U6,W6,Y6)-SUM(J6:L6))/SUM(J6:L6)*-1</f>
        <v>1.2897822445561152E-2</v>
      </c>
      <c r="AB6" s="159">
        <f t="shared" ref="AB6:AB37" si="9">(SUM(V6,X6,Z6)-SUM(J6:L6))/SUM(J6:L6)*-1</f>
        <v>0.10640703517587942</v>
      </c>
    </row>
    <row r="7" spans="1:109" s="123" customFormat="1" ht="57" hidden="1" customHeight="1" x14ac:dyDescent="0.25">
      <c r="A7" s="161" t="s">
        <v>237</v>
      </c>
      <c r="B7" s="116" t="str">
        <f t="shared" si="0"/>
        <v>[D] Building Envelope - High Performance Glazing with Enhanced Air SealingBig Box Store</v>
      </c>
      <c r="C7" s="117" t="s">
        <v>239</v>
      </c>
      <c r="D7" s="118" t="s">
        <v>93</v>
      </c>
      <c r="E7" s="119">
        <v>0.11</v>
      </c>
      <c r="F7" s="119">
        <v>0.2</v>
      </c>
      <c r="G7" s="119">
        <v>0.21</v>
      </c>
      <c r="H7" s="119">
        <v>0.3</v>
      </c>
      <c r="I7" s="119">
        <f t="shared" si="1"/>
        <v>0.255</v>
      </c>
      <c r="J7" s="120">
        <v>0</v>
      </c>
      <c r="K7" s="120">
        <f>VLOOKUP(D7,'Existing Building EUI'!$B$7:$E$16,4,FALSE)</f>
        <v>231</v>
      </c>
      <c r="L7" s="120">
        <f>VLOOKUP(D7,'Existing Building EUI'!$B$7:$E$16,3,FALSE)*0.8</f>
        <v>127.2</v>
      </c>
      <c r="M7" s="158">
        <v>0</v>
      </c>
      <c r="N7" s="158">
        <v>0</v>
      </c>
      <c r="O7" s="159">
        <v>0.08</v>
      </c>
      <c r="P7" s="159">
        <v>0.15</v>
      </c>
      <c r="Q7" s="158">
        <v>0.15</v>
      </c>
      <c r="R7" s="119">
        <v>0.2</v>
      </c>
      <c r="S7" s="119">
        <v>0</v>
      </c>
      <c r="T7" s="119">
        <v>0</v>
      </c>
      <c r="U7" s="121">
        <f t="shared" si="2"/>
        <v>0</v>
      </c>
      <c r="V7" s="121">
        <f t="shared" si="3"/>
        <v>0</v>
      </c>
      <c r="W7" s="121">
        <f t="shared" si="4"/>
        <v>212.52</v>
      </c>
      <c r="X7" s="121">
        <f t="shared" si="5"/>
        <v>196.35</v>
      </c>
      <c r="Y7" s="121">
        <f t="shared" si="6"/>
        <v>108.12</v>
      </c>
      <c r="Z7" s="121">
        <f t="shared" si="7"/>
        <v>101.76</v>
      </c>
      <c r="AA7" s="159">
        <f t="shared" si="8"/>
        <v>0.10485762144053602</v>
      </c>
      <c r="AB7" s="122">
        <f t="shared" si="9"/>
        <v>0.16775544388609709</v>
      </c>
    </row>
    <row r="8" spans="1:109" s="123" customFormat="1" ht="57" hidden="1" customHeight="1" x14ac:dyDescent="0.25">
      <c r="A8" s="161" t="s">
        <v>237</v>
      </c>
      <c r="B8" s="116" t="str">
        <f t="shared" si="0"/>
        <v>[D] Building Envelope - High Performance Glazing, Wall Insulation, &amp; Roof InsulationBig Box Store</v>
      </c>
      <c r="C8" s="117" t="s">
        <v>240</v>
      </c>
      <c r="D8" s="118" t="s">
        <v>93</v>
      </c>
      <c r="E8" s="119">
        <v>0.21</v>
      </c>
      <c r="F8" s="119">
        <v>0.3</v>
      </c>
      <c r="G8" s="119">
        <v>0.21</v>
      </c>
      <c r="H8" s="119">
        <v>0.3</v>
      </c>
      <c r="I8" s="119">
        <f t="shared" si="1"/>
        <v>0.255</v>
      </c>
      <c r="J8" s="120">
        <v>0</v>
      </c>
      <c r="K8" s="120">
        <f>VLOOKUP(D8,'Existing Building EUI'!$B$7:$E$16,4,FALSE)</f>
        <v>231</v>
      </c>
      <c r="L8" s="120">
        <f>VLOOKUP(D8,'Existing Building EUI'!$B$7:$E$16,3,FALSE)*0.8</f>
        <v>127.2</v>
      </c>
      <c r="M8" s="158">
        <v>0</v>
      </c>
      <c r="N8" s="158">
        <v>0</v>
      </c>
      <c r="O8" s="159">
        <v>0.18</v>
      </c>
      <c r="P8" s="159">
        <v>0.2</v>
      </c>
      <c r="Q8" s="158">
        <v>0.25</v>
      </c>
      <c r="R8" s="119">
        <v>0.35</v>
      </c>
      <c r="S8" s="119">
        <v>0</v>
      </c>
      <c r="T8" s="119">
        <v>0</v>
      </c>
      <c r="U8" s="121">
        <f t="shared" si="2"/>
        <v>0</v>
      </c>
      <c r="V8" s="121">
        <f t="shared" si="3"/>
        <v>0</v>
      </c>
      <c r="W8" s="121">
        <f t="shared" si="4"/>
        <v>189.42000000000002</v>
      </c>
      <c r="X8" s="121">
        <f t="shared" si="5"/>
        <v>184.8</v>
      </c>
      <c r="Y8" s="121">
        <f t="shared" si="6"/>
        <v>95.4</v>
      </c>
      <c r="Z8" s="121">
        <f t="shared" si="7"/>
        <v>82.68</v>
      </c>
      <c r="AA8" s="159">
        <f t="shared" si="8"/>
        <v>0.20485762144053585</v>
      </c>
      <c r="AB8" s="122">
        <f t="shared" si="9"/>
        <v>0.25326633165829138</v>
      </c>
    </row>
    <row r="9" spans="1:109" s="123" customFormat="1" ht="57" customHeight="1" x14ac:dyDescent="0.25">
      <c r="A9" s="161" t="s">
        <v>237</v>
      </c>
      <c r="B9" s="116" t="str">
        <f t="shared" si="0"/>
        <v>[D] Domestic Hot Water - Low Carbon District Energy SystemBig Box Store</v>
      </c>
      <c r="C9" s="117" t="s">
        <v>278</v>
      </c>
      <c r="D9" s="124" t="s">
        <v>93</v>
      </c>
      <c r="E9" s="119">
        <v>0.2</v>
      </c>
      <c r="F9" s="119">
        <v>0.3</v>
      </c>
      <c r="G9" s="119">
        <v>0.3</v>
      </c>
      <c r="H9" s="119">
        <v>0.75</v>
      </c>
      <c r="I9" s="119">
        <f t="shared" si="1"/>
        <v>0.52500000000000002</v>
      </c>
      <c r="J9" s="120">
        <v>0</v>
      </c>
      <c r="K9" s="120">
        <f>VLOOKUP(D9,'Existing Building EUI'!$B$7:$E$16,4,FALSE)</f>
        <v>231</v>
      </c>
      <c r="L9" s="120">
        <f>VLOOKUP(D9,'Existing Building EUI'!$B$7:$E$16,3,FALSE)*0.8</f>
        <v>127.2</v>
      </c>
      <c r="M9" s="158">
        <v>0</v>
      </c>
      <c r="N9" s="158">
        <v>0</v>
      </c>
      <c r="O9" s="159">
        <v>0</v>
      </c>
      <c r="P9" s="159">
        <v>0</v>
      </c>
      <c r="Q9" s="119">
        <v>0</v>
      </c>
      <c r="R9" s="119">
        <v>0</v>
      </c>
      <c r="S9" s="119">
        <v>0</v>
      </c>
      <c r="T9" s="119">
        <v>0</v>
      </c>
      <c r="U9" s="121">
        <f t="shared" si="2"/>
        <v>0</v>
      </c>
      <c r="V9" s="121">
        <f t="shared" si="3"/>
        <v>0</v>
      </c>
      <c r="W9" s="121">
        <f t="shared" si="4"/>
        <v>231</v>
      </c>
      <c r="X9" s="121">
        <f t="shared" si="5"/>
        <v>231</v>
      </c>
      <c r="Y9" s="121">
        <f t="shared" si="6"/>
        <v>127.2</v>
      </c>
      <c r="Z9" s="121">
        <f t="shared" si="7"/>
        <v>127.2</v>
      </c>
      <c r="AA9" s="159">
        <f t="shared" si="8"/>
        <v>0</v>
      </c>
      <c r="AB9" s="122">
        <f t="shared" si="9"/>
        <v>0</v>
      </c>
    </row>
    <row r="10" spans="1:109" s="123" customFormat="1" ht="42.75" customHeight="1" x14ac:dyDescent="0.25">
      <c r="A10" s="161" t="s">
        <v>237</v>
      </c>
      <c r="B10" s="116" t="str">
        <f t="shared" si="0"/>
        <v>[D] Domestic Hot Water - Electric Water HeaterBig Box Store</v>
      </c>
      <c r="C10" s="117" t="s">
        <v>233</v>
      </c>
      <c r="D10" s="124" t="s">
        <v>93</v>
      </c>
      <c r="E10" s="119">
        <v>0.2</v>
      </c>
      <c r="F10" s="119">
        <v>0.3</v>
      </c>
      <c r="G10" s="119">
        <v>0.3</v>
      </c>
      <c r="H10" s="119">
        <v>0.75</v>
      </c>
      <c r="I10" s="119">
        <f t="shared" si="1"/>
        <v>0.52500000000000002</v>
      </c>
      <c r="J10" s="120">
        <v>0</v>
      </c>
      <c r="K10" s="120">
        <f>VLOOKUP(D10,'Existing Building EUI'!$B$7:$E$16,4,FALSE)</f>
        <v>231</v>
      </c>
      <c r="L10" s="120">
        <f>VLOOKUP(D10,'Existing Building EUI'!$B$7:$E$16,3,FALSE)*0.8</f>
        <v>127.2</v>
      </c>
      <c r="M10" s="158">
        <v>0</v>
      </c>
      <c r="N10" s="158">
        <v>0</v>
      </c>
      <c r="O10" s="159">
        <v>0</v>
      </c>
      <c r="P10" s="159">
        <v>0</v>
      </c>
      <c r="Q10" s="125">
        <v>0.02</v>
      </c>
      <c r="R10" s="119">
        <v>0.15</v>
      </c>
      <c r="S10" s="125">
        <f>Q10/-1</f>
        <v>-0.02</v>
      </c>
      <c r="T10" s="125">
        <f>R10/-1</f>
        <v>-0.15</v>
      </c>
      <c r="U10" s="121">
        <f t="shared" si="2"/>
        <v>0</v>
      </c>
      <c r="V10" s="121">
        <f t="shared" si="3"/>
        <v>0</v>
      </c>
      <c r="W10" s="121">
        <f t="shared" si="4"/>
        <v>231</v>
      </c>
      <c r="X10" s="121">
        <f t="shared" si="5"/>
        <v>231</v>
      </c>
      <c r="Y10" s="121">
        <f t="shared" si="6"/>
        <v>124.65600000000001</v>
      </c>
      <c r="Z10" s="121">
        <f t="shared" si="7"/>
        <v>108.12</v>
      </c>
      <c r="AA10" s="159">
        <f t="shared" si="8"/>
        <v>7.1021775544388129E-3</v>
      </c>
      <c r="AB10" s="122">
        <f t="shared" si="9"/>
        <v>5.3266331658291415E-2</v>
      </c>
    </row>
    <row r="11" spans="1:109" s="123" customFormat="1" ht="57" hidden="1" x14ac:dyDescent="0.25">
      <c r="A11" s="161" t="s">
        <v>237</v>
      </c>
      <c r="B11" s="116" t="str">
        <f t="shared" si="0"/>
        <v>[D] Heating &amp; Cooling System - Rooftop Air Source Heat Pumps with Backup Electric HeatBig Box Store</v>
      </c>
      <c r="C11" s="117" t="s">
        <v>234</v>
      </c>
      <c r="D11" s="124" t="s">
        <v>93</v>
      </c>
      <c r="E11" s="119">
        <v>0.2</v>
      </c>
      <c r="F11" s="119">
        <v>0.3</v>
      </c>
      <c r="G11" s="119">
        <v>0.3</v>
      </c>
      <c r="H11" s="119">
        <v>0.75</v>
      </c>
      <c r="I11" s="119">
        <f t="shared" si="1"/>
        <v>0.52500000000000002</v>
      </c>
      <c r="J11" s="120">
        <v>0</v>
      </c>
      <c r="K11" s="120">
        <f>VLOOKUP(D11,'Existing Building EUI'!$B$7:$E$16,4,FALSE)</f>
        <v>231</v>
      </c>
      <c r="L11" s="120">
        <f>VLOOKUP(D11,'Existing Building EUI'!$B$7:$E$16,3,FALSE)*0.8</f>
        <v>127.2</v>
      </c>
      <c r="M11" s="158">
        <v>0</v>
      </c>
      <c r="N11" s="158">
        <v>0</v>
      </c>
      <c r="O11" s="159">
        <v>0</v>
      </c>
      <c r="P11" s="159">
        <v>0</v>
      </c>
      <c r="Q11" s="125">
        <v>0.85</v>
      </c>
      <c r="R11" s="119">
        <v>0.9</v>
      </c>
      <c r="S11" s="125">
        <f>Q11/-2</f>
        <v>-0.42499999999999999</v>
      </c>
      <c r="T11" s="125">
        <f>R11/-2</f>
        <v>-0.45</v>
      </c>
      <c r="U11" s="121">
        <f t="shared" si="2"/>
        <v>0</v>
      </c>
      <c r="V11" s="121">
        <f t="shared" si="3"/>
        <v>0</v>
      </c>
      <c r="W11" s="121">
        <f t="shared" si="4"/>
        <v>231</v>
      </c>
      <c r="X11" s="121">
        <f t="shared" si="5"/>
        <v>231</v>
      </c>
      <c r="Y11" s="121">
        <f t="shared" si="6"/>
        <v>19.080000000000002</v>
      </c>
      <c r="Z11" s="121">
        <f t="shared" si="7"/>
        <v>12.719999999999997</v>
      </c>
      <c r="AA11" s="159">
        <f t="shared" si="8"/>
        <v>0.30184254606365152</v>
      </c>
      <c r="AB11" s="122">
        <f t="shared" si="9"/>
        <v>0.31959798994974875</v>
      </c>
    </row>
    <row r="12" spans="1:109" s="123" customFormat="1" ht="42.75" hidden="1" x14ac:dyDescent="0.25">
      <c r="A12" s="161" t="s">
        <v>237</v>
      </c>
      <c r="B12" s="116" t="str">
        <f t="shared" si="0"/>
        <v>[D] Heating &amp; Cooling Systems - Low Carbon District Energy SystemBig Box Store</v>
      </c>
      <c r="C12" s="117" t="s">
        <v>279</v>
      </c>
      <c r="D12" s="124" t="s">
        <v>93</v>
      </c>
      <c r="E12" s="119">
        <v>0.2</v>
      </c>
      <c r="F12" s="119">
        <v>0.3</v>
      </c>
      <c r="G12" s="119">
        <v>0.3</v>
      </c>
      <c r="H12" s="119">
        <v>0.75</v>
      </c>
      <c r="I12" s="119">
        <f t="shared" si="1"/>
        <v>0.52500000000000002</v>
      </c>
      <c r="J12" s="120">
        <v>0</v>
      </c>
      <c r="K12" s="120">
        <f>VLOOKUP(D12,'Existing Building EUI'!$B$7:$E$16,4,FALSE)</f>
        <v>231</v>
      </c>
      <c r="L12" s="120">
        <f>VLOOKUP(D12,'Existing Building EUI'!$B$7:$E$16,3,FALSE)*0.8</f>
        <v>127.2</v>
      </c>
      <c r="M12" s="158">
        <v>0</v>
      </c>
      <c r="N12" s="158">
        <v>0</v>
      </c>
      <c r="O12" s="159">
        <v>0</v>
      </c>
      <c r="P12" s="159">
        <v>0</v>
      </c>
      <c r="Q12" s="119">
        <v>0</v>
      </c>
      <c r="R12" s="119">
        <v>0</v>
      </c>
      <c r="S12" s="119">
        <v>0</v>
      </c>
      <c r="T12" s="119">
        <v>0</v>
      </c>
      <c r="U12" s="121">
        <f t="shared" si="2"/>
        <v>0</v>
      </c>
      <c r="V12" s="121">
        <f t="shared" si="3"/>
        <v>0</v>
      </c>
      <c r="W12" s="121">
        <f t="shared" si="4"/>
        <v>231</v>
      </c>
      <c r="X12" s="121">
        <f t="shared" si="5"/>
        <v>231</v>
      </c>
      <c r="Y12" s="121">
        <f t="shared" si="6"/>
        <v>127.2</v>
      </c>
      <c r="Z12" s="121">
        <f t="shared" si="7"/>
        <v>127.2</v>
      </c>
      <c r="AA12" s="159">
        <f t="shared" si="8"/>
        <v>0</v>
      </c>
      <c r="AB12" s="122">
        <f t="shared" si="9"/>
        <v>0</v>
      </c>
    </row>
    <row r="13" spans="1:109" s="123" customFormat="1" ht="28.5" hidden="1" customHeight="1" x14ac:dyDescent="0.25">
      <c r="A13" s="161" t="s">
        <v>237</v>
      </c>
      <c r="B13" s="116" t="str">
        <f t="shared" si="0"/>
        <v>[D] Lighting and Lighting ControlsBig Box Store</v>
      </c>
      <c r="C13" s="117" t="s">
        <v>253</v>
      </c>
      <c r="D13" s="118" t="s">
        <v>93</v>
      </c>
      <c r="E13" s="119">
        <v>0.01</v>
      </c>
      <c r="F13" s="119">
        <v>0.1</v>
      </c>
      <c r="G13" s="119">
        <v>0.01</v>
      </c>
      <c r="H13" s="119">
        <v>0.1</v>
      </c>
      <c r="I13" s="119">
        <f t="shared" si="1"/>
        <v>5.5E-2</v>
      </c>
      <c r="J13" s="120">
        <v>0</v>
      </c>
      <c r="K13" s="120">
        <f>VLOOKUP(D13,'Existing Building EUI'!$B$7:$E$16,4,FALSE)</f>
        <v>231</v>
      </c>
      <c r="L13" s="120">
        <f>VLOOKUP(D13,'Existing Building EUI'!$B$7:$E$16,3,FALSE)*0.8</f>
        <v>127.2</v>
      </c>
      <c r="M13" s="158">
        <v>0</v>
      </c>
      <c r="N13" s="119">
        <v>0</v>
      </c>
      <c r="O13" s="159">
        <v>0.01</v>
      </c>
      <c r="P13" s="159">
        <v>0.17</v>
      </c>
      <c r="Q13" s="119">
        <v>0</v>
      </c>
      <c r="R13" s="119">
        <v>0</v>
      </c>
      <c r="S13" s="119">
        <v>0</v>
      </c>
      <c r="T13" s="119">
        <v>0</v>
      </c>
      <c r="U13" s="121">
        <f t="shared" si="2"/>
        <v>0</v>
      </c>
      <c r="V13" s="121">
        <f t="shared" si="3"/>
        <v>0</v>
      </c>
      <c r="W13" s="121">
        <f t="shared" si="4"/>
        <v>228.69</v>
      </c>
      <c r="X13" s="121">
        <f t="shared" si="5"/>
        <v>191.73</v>
      </c>
      <c r="Y13" s="121">
        <f t="shared" si="6"/>
        <v>127.2</v>
      </c>
      <c r="Z13" s="121">
        <f t="shared" si="7"/>
        <v>127.2</v>
      </c>
      <c r="AA13" s="159">
        <f t="shared" si="8"/>
        <v>6.448911222780576E-3</v>
      </c>
      <c r="AB13" s="122">
        <f t="shared" si="9"/>
        <v>0.10963149078726964</v>
      </c>
    </row>
    <row r="14" spans="1:109" s="123" customFormat="1" ht="28.5" hidden="1" customHeight="1" x14ac:dyDescent="0.25">
      <c r="A14" s="161" t="s">
        <v>237</v>
      </c>
      <c r="B14" s="116" t="str">
        <f t="shared" si="0"/>
        <v>[D] Renewables - Solar PVBig Box Store</v>
      </c>
      <c r="C14" s="117" t="s">
        <v>249</v>
      </c>
      <c r="D14" s="118" t="s">
        <v>93</v>
      </c>
      <c r="E14" s="119">
        <v>0.01</v>
      </c>
      <c r="F14" s="119">
        <v>0.1</v>
      </c>
      <c r="G14" s="119">
        <v>0.01</v>
      </c>
      <c r="H14" s="119">
        <v>0.05</v>
      </c>
      <c r="I14" s="119">
        <f t="shared" si="1"/>
        <v>3.0000000000000002E-2</v>
      </c>
      <c r="J14" s="120">
        <v>0</v>
      </c>
      <c r="K14" s="120">
        <f>VLOOKUP(D14,'Existing Building EUI'!$B$7:$E$16,4,FALSE)</f>
        <v>231</v>
      </c>
      <c r="L14" s="120">
        <f>VLOOKUP(D14,'Existing Building EUI'!$B$7:$E$16,3,FALSE)*0.8</f>
        <v>127.2</v>
      </c>
      <c r="M14" s="158">
        <v>0</v>
      </c>
      <c r="N14" s="119">
        <v>0</v>
      </c>
      <c r="O14" s="159">
        <v>0.02</v>
      </c>
      <c r="P14" s="159">
        <v>0.17</v>
      </c>
      <c r="Q14" s="119">
        <v>0</v>
      </c>
      <c r="R14" s="119">
        <v>0</v>
      </c>
      <c r="S14" s="119">
        <v>0</v>
      </c>
      <c r="T14" s="119">
        <v>0</v>
      </c>
      <c r="U14" s="121">
        <f t="shared" si="2"/>
        <v>0</v>
      </c>
      <c r="V14" s="121">
        <f t="shared" si="3"/>
        <v>0</v>
      </c>
      <c r="W14" s="121">
        <f t="shared" si="4"/>
        <v>226.38</v>
      </c>
      <c r="X14" s="121">
        <f t="shared" si="5"/>
        <v>191.73</v>
      </c>
      <c r="Y14" s="121">
        <f t="shared" si="6"/>
        <v>127.2</v>
      </c>
      <c r="Z14" s="121">
        <f t="shared" si="7"/>
        <v>127.2</v>
      </c>
      <c r="AA14" s="159">
        <f t="shared" si="8"/>
        <v>1.2897822445561152E-2</v>
      </c>
      <c r="AB14" s="122">
        <f t="shared" si="9"/>
        <v>0.10963149078726964</v>
      </c>
    </row>
    <row r="15" spans="1:109" s="123" customFormat="1" ht="42.75" hidden="1" x14ac:dyDescent="0.25">
      <c r="A15" s="161" t="s">
        <v>237</v>
      </c>
      <c r="B15" s="116" t="str">
        <f t="shared" si="0"/>
        <v>[D] Ventilation Systems - Energy Recovery Ventilator (ERV)Big Box Store</v>
      </c>
      <c r="C15" s="117" t="s">
        <v>241</v>
      </c>
      <c r="D15" s="118" t="s">
        <v>93</v>
      </c>
      <c r="E15" s="119">
        <v>0.01</v>
      </c>
      <c r="F15" s="119">
        <v>0.1</v>
      </c>
      <c r="G15" s="119">
        <v>0.01</v>
      </c>
      <c r="H15" s="119">
        <v>0.1</v>
      </c>
      <c r="I15" s="119">
        <f t="shared" si="1"/>
        <v>5.5E-2</v>
      </c>
      <c r="J15" s="120">
        <v>0</v>
      </c>
      <c r="K15" s="120">
        <f>VLOOKUP(D15,'Existing Building EUI'!$B$7:$E$16,4,FALSE)</f>
        <v>231</v>
      </c>
      <c r="L15" s="120">
        <f>VLOOKUP(D15,'Existing Building EUI'!$B$7:$E$16,3,FALSE)*0.8</f>
        <v>127.2</v>
      </c>
      <c r="M15" s="158">
        <v>0</v>
      </c>
      <c r="N15" s="119">
        <v>0</v>
      </c>
      <c r="O15" s="159">
        <v>0.01</v>
      </c>
      <c r="P15" s="159">
        <v>0.05</v>
      </c>
      <c r="Q15" s="119">
        <v>0.01</v>
      </c>
      <c r="R15" s="119">
        <v>0.05</v>
      </c>
      <c r="S15" s="126">
        <v>0</v>
      </c>
      <c r="T15" s="126">
        <v>0</v>
      </c>
      <c r="U15" s="121">
        <f t="shared" si="2"/>
        <v>0</v>
      </c>
      <c r="V15" s="121">
        <f t="shared" si="3"/>
        <v>0</v>
      </c>
      <c r="W15" s="121">
        <f t="shared" si="4"/>
        <v>228.69</v>
      </c>
      <c r="X15" s="121">
        <f t="shared" si="5"/>
        <v>219.45</v>
      </c>
      <c r="Y15" s="121">
        <f t="shared" si="6"/>
        <v>125.928</v>
      </c>
      <c r="Z15" s="121">
        <f t="shared" si="7"/>
        <v>120.84</v>
      </c>
      <c r="AA15" s="159">
        <f t="shared" si="8"/>
        <v>9.9999999999999829E-3</v>
      </c>
      <c r="AB15" s="122">
        <f t="shared" si="9"/>
        <v>5.0000000000000072E-2</v>
      </c>
    </row>
    <row r="16" spans="1:109" s="123" customFormat="1" ht="28.5" hidden="1" x14ac:dyDescent="0.25">
      <c r="A16" s="161" t="s">
        <v>237</v>
      </c>
      <c r="B16" s="116" t="str">
        <f t="shared" si="0"/>
        <v>[D] Appliance Upgrades &amp; Lighting and Lighting ControlsCondominium</v>
      </c>
      <c r="C16" s="117" t="s">
        <v>254</v>
      </c>
      <c r="D16" s="118" t="s">
        <v>60</v>
      </c>
      <c r="E16" s="119">
        <v>0.11</v>
      </c>
      <c r="F16" s="119">
        <v>0.2</v>
      </c>
      <c r="G16" s="119">
        <v>0.01</v>
      </c>
      <c r="H16" s="119">
        <v>0.1</v>
      </c>
      <c r="I16" s="119">
        <f t="shared" si="1"/>
        <v>5.5E-2</v>
      </c>
      <c r="J16" s="120">
        <v>0</v>
      </c>
      <c r="K16" s="120">
        <f>VLOOKUP(D16,'Existing Building EUI'!$B$7:$E$16,4,FALSE)</f>
        <v>93</v>
      </c>
      <c r="L16" s="120">
        <f>VLOOKUP(D16,'Existing Building EUI'!$B$7:$E$16,3,FALSE)*0.8</f>
        <v>172</v>
      </c>
      <c r="M16" s="158">
        <v>0</v>
      </c>
      <c r="N16" s="119">
        <v>0</v>
      </c>
      <c r="O16" s="159">
        <v>0.35</v>
      </c>
      <c r="P16" s="159">
        <v>0.5</v>
      </c>
      <c r="Q16" s="119">
        <v>0</v>
      </c>
      <c r="R16" s="119">
        <v>0</v>
      </c>
      <c r="S16" s="119">
        <v>0</v>
      </c>
      <c r="T16" s="119">
        <v>0</v>
      </c>
      <c r="U16" s="121">
        <f t="shared" si="2"/>
        <v>0</v>
      </c>
      <c r="V16" s="121">
        <f t="shared" si="3"/>
        <v>0</v>
      </c>
      <c r="W16" s="121">
        <f t="shared" si="4"/>
        <v>60.45</v>
      </c>
      <c r="X16" s="121">
        <f t="shared" si="5"/>
        <v>46.5</v>
      </c>
      <c r="Y16" s="121">
        <f t="shared" si="6"/>
        <v>172</v>
      </c>
      <c r="Z16" s="121">
        <f t="shared" si="7"/>
        <v>172</v>
      </c>
      <c r="AA16" s="159">
        <f t="shared" si="8"/>
        <v>0.12283018867924532</v>
      </c>
      <c r="AB16" s="122">
        <f t="shared" si="9"/>
        <v>0.17547169811320754</v>
      </c>
    </row>
    <row r="17" spans="1:28" s="123" customFormat="1" ht="57" hidden="1" x14ac:dyDescent="0.25">
      <c r="A17" s="161" t="s">
        <v>237</v>
      </c>
      <c r="B17" s="116" t="str">
        <f t="shared" si="0"/>
        <v>[D] Building Envelope - High Performance Envelope (Recladding, Air Sealing, New Insulation) Condominium</v>
      </c>
      <c r="C17" s="117" t="s">
        <v>243</v>
      </c>
      <c r="D17" s="118" t="s">
        <v>60</v>
      </c>
      <c r="E17" s="119">
        <v>0.11</v>
      </c>
      <c r="F17" s="119">
        <v>0.2</v>
      </c>
      <c r="G17" s="119">
        <v>0.11</v>
      </c>
      <c r="H17" s="119">
        <v>0.2</v>
      </c>
      <c r="I17" s="119">
        <f t="shared" si="1"/>
        <v>0.155</v>
      </c>
      <c r="J17" s="120">
        <v>0</v>
      </c>
      <c r="K17" s="120">
        <f>VLOOKUP(D17,'Existing Building EUI'!$B$7:$E$16,4,FALSE)</f>
        <v>93</v>
      </c>
      <c r="L17" s="120">
        <f>VLOOKUP(D17,'Existing Building EUI'!$B$7:$E$16,3,FALSE)*0.8</f>
        <v>172</v>
      </c>
      <c r="M17" s="158">
        <v>0</v>
      </c>
      <c r="N17" s="158">
        <v>0</v>
      </c>
      <c r="O17" s="159">
        <v>0.08</v>
      </c>
      <c r="P17" s="159">
        <v>0.15</v>
      </c>
      <c r="Q17" s="158">
        <v>0.12</v>
      </c>
      <c r="R17" s="119">
        <v>0.2</v>
      </c>
      <c r="S17" s="119">
        <v>0</v>
      </c>
      <c r="T17" s="119">
        <v>0</v>
      </c>
      <c r="U17" s="121">
        <f t="shared" si="2"/>
        <v>0</v>
      </c>
      <c r="V17" s="121">
        <f t="shared" si="3"/>
        <v>0</v>
      </c>
      <c r="W17" s="121">
        <f t="shared" si="4"/>
        <v>85.56</v>
      </c>
      <c r="X17" s="121">
        <f t="shared" si="5"/>
        <v>79.05</v>
      </c>
      <c r="Y17" s="121">
        <f t="shared" si="6"/>
        <v>151.36000000000001</v>
      </c>
      <c r="Z17" s="121">
        <f t="shared" si="7"/>
        <v>137.6</v>
      </c>
      <c r="AA17" s="159">
        <f t="shared" si="8"/>
        <v>0.10596226415094334</v>
      </c>
      <c r="AB17" s="122">
        <f t="shared" si="9"/>
        <v>0.18245283018867933</v>
      </c>
    </row>
    <row r="18" spans="1:28" s="123" customFormat="1" ht="42.75" hidden="1" x14ac:dyDescent="0.25">
      <c r="A18" s="161" t="s">
        <v>237</v>
      </c>
      <c r="B18" s="116" t="str">
        <f t="shared" si="0"/>
        <v>[D] Building Envelope - High Performance Glazing with Enhanced Air SealingCondominium</v>
      </c>
      <c r="C18" s="117" t="s">
        <v>239</v>
      </c>
      <c r="D18" s="118" t="s">
        <v>60</v>
      </c>
      <c r="E18" s="119">
        <v>0.01</v>
      </c>
      <c r="F18" s="119">
        <v>0.1</v>
      </c>
      <c r="G18" s="119">
        <v>0.01</v>
      </c>
      <c r="H18" s="119">
        <v>0.1</v>
      </c>
      <c r="I18" s="119">
        <f t="shared" si="1"/>
        <v>5.5E-2</v>
      </c>
      <c r="J18" s="120">
        <v>0</v>
      </c>
      <c r="K18" s="120">
        <f>VLOOKUP(D18,'Existing Building EUI'!$B$7:$E$16,4,FALSE)</f>
        <v>93</v>
      </c>
      <c r="L18" s="120">
        <f>VLOOKUP(D18,'Existing Building EUI'!$B$7:$E$16,3,FALSE)*0.8</f>
        <v>172</v>
      </c>
      <c r="M18" s="158">
        <v>0</v>
      </c>
      <c r="N18" s="158">
        <v>0</v>
      </c>
      <c r="O18" s="158">
        <v>0.01</v>
      </c>
      <c r="P18" s="159">
        <v>0.08</v>
      </c>
      <c r="Q18" s="158">
        <v>0.01</v>
      </c>
      <c r="R18" s="119">
        <v>0.11</v>
      </c>
      <c r="S18" s="119">
        <v>0</v>
      </c>
      <c r="T18" s="119">
        <v>0</v>
      </c>
      <c r="U18" s="121">
        <f t="shared" si="2"/>
        <v>0</v>
      </c>
      <c r="V18" s="121">
        <f t="shared" si="3"/>
        <v>0</v>
      </c>
      <c r="W18" s="121">
        <f t="shared" si="4"/>
        <v>92.07</v>
      </c>
      <c r="X18" s="121">
        <f t="shared" si="5"/>
        <v>85.56</v>
      </c>
      <c r="Y18" s="121">
        <f t="shared" si="6"/>
        <v>170.28</v>
      </c>
      <c r="Z18" s="121">
        <f t="shared" si="7"/>
        <v>153.08000000000001</v>
      </c>
      <c r="AA18" s="159">
        <f t="shared" si="8"/>
        <v>9.9999999999999135E-3</v>
      </c>
      <c r="AB18" s="122">
        <f t="shared" si="9"/>
        <v>9.9471698113207496E-2</v>
      </c>
    </row>
    <row r="19" spans="1:28" s="123" customFormat="1" ht="48" customHeight="1" x14ac:dyDescent="0.25">
      <c r="A19" s="161" t="s">
        <v>237</v>
      </c>
      <c r="B19" s="116" t="str">
        <f t="shared" si="0"/>
        <v>[D] Domestic Hot Water - Low Carbon District Energy SystemCondominium</v>
      </c>
      <c r="C19" s="117" t="s">
        <v>278</v>
      </c>
      <c r="D19" s="124" t="s">
        <v>60</v>
      </c>
      <c r="E19" s="119">
        <v>0.2</v>
      </c>
      <c r="F19" s="119">
        <v>0.3</v>
      </c>
      <c r="G19" s="119">
        <v>0.3</v>
      </c>
      <c r="H19" s="119">
        <v>0.75</v>
      </c>
      <c r="I19" s="119">
        <f t="shared" si="1"/>
        <v>0.52500000000000002</v>
      </c>
      <c r="J19" s="120">
        <v>0</v>
      </c>
      <c r="K19" s="120">
        <f>VLOOKUP(D19,'Existing Building EUI'!$B$7:$E$16,4,FALSE)</f>
        <v>93</v>
      </c>
      <c r="L19" s="120">
        <f>VLOOKUP(D19,'Existing Building EUI'!$B$7:$E$16,3,FALSE)*0.8</f>
        <v>172</v>
      </c>
      <c r="M19" s="158">
        <v>0</v>
      </c>
      <c r="N19" s="158">
        <v>0</v>
      </c>
      <c r="O19" s="159">
        <v>0</v>
      </c>
      <c r="P19" s="159">
        <v>0</v>
      </c>
      <c r="Q19" s="119">
        <v>0</v>
      </c>
      <c r="R19" s="119">
        <v>0</v>
      </c>
      <c r="S19" s="119">
        <v>0</v>
      </c>
      <c r="T19" s="119">
        <v>0</v>
      </c>
      <c r="U19" s="121">
        <f t="shared" si="2"/>
        <v>0</v>
      </c>
      <c r="V19" s="121">
        <f t="shared" si="3"/>
        <v>0</v>
      </c>
      <c r="W19" s="121">
        <f t="shared" si="4"/>
        <v>93</v>
      </c>
      <c r="X19" s="121">
        <f t="shared" si="5"/>
        <v>93</v>
      </c>
      <c r="Y19" s="121">
        <f t="shared" si="6"/>
        <v>172</v>
      </c>
      <c r="Z19" s="121">
        <f t="shared" si="7"/>
        <v>172</v>
      </c>
      <c r="AA19" s="159">
        <f t="shared" si="8"/>
        <v>0</v>
      </c>
      <c r="AB19" s="122">
        <f t="shared" si="9"/>
        <v>0</v>
      </c>
    </row>
    <row r="20" spans="1:28" s="123" customFormat="1" ht="42.75" x14ac:dyDescent="0.25">
      <c r="A20" s="161" t="s">
        <v>237</v>
      </c>
      <c r="B20" s="116" t="str">
        <f t="shared" si="0"/>
        <v>[D] Domestic Hot Water - Heat Pump and Electric Resistance Water HeatersCondominium</v>
      </c>
      <c r="C20" s="117" t="s">
        <v>228</v>
      </c>
      <c r="D20" s="124" t="s">
        <v>60</v>
      </c>
      <c r="E20" s="119">
        <v>0.2</v>
      </c>
      <c r="F20" s="119">
        <v>0.3</v>
      </c>
      <c r="G20" s="119">
        <v>0.3</v>
      </c>
      <c r="H20" s="119">
        <v>0.75</v>
      </c>
      <c r="I20" s="119">
        <f t="shared" si="1"/>
        <v>0.52500000000000002</v>
      </c>
      <c r="J20" s="120">
        <v>0</v>
      </c>
      <c r="K20" s="120">
        <f>VLOOKUP(D20,'Existing Building EUI'!$B$7:$E$16,4,FALSE)</f>
        <v>93</v>
      </c>
      <c r="L20" s="120">
        <f>VLOOKUP(D20,'Existing Building EUI'!$B$7:$E$16,3,FALSE)*0.8</f>
        <v>172</v>
      </c>
      <c r="M20" s="158">
        <v>0</v>
      </c>
      <c r="N20" s="158">
        <v>0</v>
      </c>
      <c r="O20" s="159">
        <v>0</v>
      </c>
      <c r="P20" s="159">
        <v>0</v>
      </c>
      <c r="Q20" s="125">
        <v>0.01</v>
      </c>
      <c r="R20" s="119">
        <v>0.2</v>
      </c>
      <c r="S20" s="125">
        <f>Q20/-4</f>
        <v>-2.5000000000000001E-3</v>
      </c>
      <c r="T20" s="125">
        <f>R20/-4</f>
        <v>-0.05</v>
      </c>
      <c r="U20" s="121">
        <f t="shared" si="2"/>
        <v>0</v>
      </c>
      <c r="V20" s="121">
        <f t="shared" si="3"/>
        <v>0</v>
      </c>
      <c r="W20" s="121">
        <f t="shared" si="4"/>
        <v>93</v>
      </c>
      <c r="X20" s="121">
        <f t="shared" si="5"/>
        <v>93</v>
      </c>
      <c r="Y20" s="121">
        <f t="shared" si="6"/>
        <v>170.28</v>
      </c>
      <c r="Z20" s="121">
        <f t="shared" si="7"/>
        <v>137.6</v>
      </c>
      <c r="AA20" s="159">
        <f t="shared" si="8"/>
        <v>6.4905660377359521E-3</v>
      </c>
      <c r="AB20" s="122">
        <f t="shared" si="9"/>
        <v>0.12981132075471699</v>
      </c>
    </row>
    <row r="21" spans="1:28" s="123" customFormat="1" ht="42.75" hidden="1" x14ac:dyDescent="0.25">
      <c r="A21" s="161" t="s">
        <v>237</v>
      </c>
      <c r="B21" s="116" t="str">
        <f t="shared" si="0"/>
        <v>[D] Gas Appliances - Electric and Induction Ranges &amp; Heat Pump Electric DryersCondominium</v>
      </c>
      <c r="C21" s="117" t="s">
        <v>244</v>
      </c>
      <c r="D21" s="118" t="s">
        <v>60</v>
      </c>
      <c r="E21" s="119">
        <v>0.01</v>
      </c>
      <c r="F21" s="119">
        <v>0.1</v>
      </c>
      <c r="G21" s="119">
        <v>0.05</v>
      </c>
      <c r="H21" s="119">
        <v>0.2</v>
      </c>
      <c r="I21" s="119">
        <f t="shared" si="1"/>
        <v>0.125</v>
      </c>
      <c r="J21" s="120">
        <v>0</v>
      </c>
      <c r="K21" s="120">
        <f>VLOOKUP(D21,'Existing Building EUI'!$B$7:$E$16,4,FALSE)</f>
        <v>93</v>
      </c>
      <c r="L21" s="120">
        <f>VLOOKUP(D21,'Existing Building EUI'!$B$7:$E$16,3,FALSE)*0.8</f>
        <v>172</v>
      </c>
      <c r="M21" s="158">
        <v>1</v>
      </c>
      <c r="N21" s="119">
        <v>1</v>
      </c>
      <c r="O21" s="159">
        <v>0</v>
      </c>
      <c r="P21" s="159">
        <v>0</v>
      </c>
      <c r="Q21" s="119">
        <v>0</v>
      </c>
      <c r="R21" s="119">
        <v>0</v>
      </c>
      <c r="S21" s="126">
        <f>(M21*0.02)/-2</f>
        <v>-0.01</v>
      </c>
      <c r="T21" s="126">
        <f>(N21*0.15)/-2</f>
        <v>-7.4999999999999997E-2</v>
      </c>
      <c r="U21" s="121">
        <f t="shared" si="2"/>
        <v>0</v>
      </c>
      <c r="V21" s="121">
        <f t="shared" si="3"/>
        <v>0</v>
      </c>
      <c r="W21" s="121">
        <f t="shared" si="4"/>
        <v>93</v>
      </c>
      <c r="X21" s="121">
        <f t="shared" si="5"/>
        <v>93</v>
      </c>
      <c r="Y21" s="121">
        <f t="shared" si="6"/>
        <v>172</v>
      </c>
      <c r="Z21" s="121">
        <f t="shared" si="7"/>
        <v>172</v>
      </c>
      <c r="AA21" s="159">
        <f t="shared" si="8"/>
        <v>0</v>
      </c>
      <c r="AB21" s="122">
        <f t="shared" si="9"/>
        <v>0</v>
      </c>
    </row>
    <row r="22" spans="1:28" s="123" customFormat="1" ht="42.75" hidden="1" x14ac:dyDescent="0.25">
      <c r="A22" s="161" t="s">
        <v>237</v>
      </c>
      <c r="B22" s="116" t="str">
        <f t="shared" si="0"/>
        <v>[D] Heating &amp; Cooling Systems - Air Source Heat PumpsCondominium</v>
      </c>
      <c r="C22" s="117" t="s">
        <v>225</v>
      </c>
      <c r="D22" s="124" t="s">
        <v>60</v>
      </c>
      <c r="E22" s="119">
        <v>0.2</v>
      </c>
      <c r="F22" s="119">
        <v>0.3</v>
      </c>
      <c r="G22" s="119">
        <v>0.3</v>
      </c>
      <c r="H22" s="119">
        <v>0.75</v>
      </c>
      <c r="I22" s="119">
        <f t="shared" si="1"/>
        <v>0.52500000000000002</v>
      </c>
      <c r="J22" s="120">
        <v>0</v>
      </c>
      <c r="K22" s="120">
        <f>VLOOKUP(D22,'Existing Building EUI'!$B$7:$E$16,4,FALSE)</f>
        <v>93</v>
      </c>
      <c r="L22" s="120">
        <f>VLOOKUP(D22,'Existing Building EUI'!$B$7:$E$16,3,FALSE)*0.8</f>
        <v>172</v>
      </c>
      <c r="M22" s="158">
        <v>0</v>
      </c>
      <c r="N22" s="158">
        <v>0</v>
      </c>
      <c r="O22" s="159">
        <v>0</v>
      </c>
      <c r="P22" s="159">
        <v>0</v>
      </c>
      <c r="Q22" s="125">
        <v>0.5</v>
      </c>
      <c r="R22" s="119">
        <v>0.6</v>
      </c>
      <c r="S22" s="125">
        <f>Q22/-2</f>
        <v>-0.25</v>
      </c>
      <c r="T22" s="125">
        <f>R22/-2</f>
        <v>-0.3</v>
      </c>
      <c r="U22" s="121">
        <f t="shared" si="2"/>
        <v>0</v>
      </c>
      <c r="V22" s="121">
        <f t="shared" si="3"/>
        <v>0</v>
      </c>
      <c r="W22" s="121">
        <f t="shared" si="4"/>
        <v>93</v>
      </c>
      <c r="X22" s="121">
        <f t="shared" si="5"/>
        <v>93</v>
      </c>
      <c r="Y22" s="121">
        <f t="shared" si="6"/>
        <v>86</v>
      </c>
      <c r="Z22" s="121">
        <f t="shared" si="7"/>
        <v>68.8</v>
      </c>
      <c r="AA22" s="159">
        <f t="shared" si="8"/>
        <v>0.32452830188679244</v>
      </c>
      <c r="AB22" s="122">
        <f t="shared" si="9"/>
        <v>0.38943396226415089</v>
      </c>
    </row>
    <row r="23" spans="1:28" s="123" customFormat="1" ht="42.75" hidden="1" x14ac:dyDescent="0.25">
      <c r="A23" s="161" t="s">
        <v>237</v>
      </c>
      <c r="B23" s="116" t="str">
        <f t="shared" si="0"/>
        <v>[D] Heating &amp; Cooling Systems - Low Carbon District Energy SystemCondominium</v>
      </c>
      <c r="C23" s="117" t="s">
        <v>279</v>
      </c>
      <c r="D23" s="124" t="s">
        <v>60</v>
      </c>
      <c r="E23" s="119">
        <v>0.2</v>
      </c>
      <c r="F23" s="119">
        <v>0.3</v>
      </c>
      <c r="G23" s="119">
        <v>0.3</v>
      </c>
      <c r="H23" s="119">
        <v>0.75</v>
      </c>
      <c r="I23" s="119">
        <f t="shared" si="1"/>
        <v>0.52500000000000002</v>
      </c>
      <c r="J23" s="120">
        <v>0</v>
      </c>
      <c r="K23" s="120">
        <f>VLOOKUP(D23,'Existing Building EUI'!$B$7:$E$16,4,FALSE)</f>
        <v>93</v>
      </c>
      <c r="L23" s="120">
        <f>VLOOKUP(D23,'Existing Building EUI'!$B$7:$E$16,3,FALSE)*0.8</f>
        <v>172</v>
      </c>
      <c r="M23" s="158">
        <v>0</v>
      </c>
      <c r="N23" s="158">
        <v>0</v>
      </c>
      <c r="O23" s="159">
        <v>0</v>
      </c>
      <c r="P23" s="159">
        <v>0</v>
      </c>
      <c r="Q23" s="119">
        <v>0</v>
      </c>
      <c r="R23" s="119">
        <v>0</v>
      </c>
      <c r="S23" s="119">
        <v>0</v>
      </c>
      <c r="T23" s="119">
        <v>0</v>
      </c>
      <c r="U23" s="121">
        <f t="shared" si="2"/>
        <v>0</v>
      </c>
      <c r="V23" s="121">
        <f t="shared" si="3"/>
        <v>0</v>
      </c>
      <c r="W23" s="121">
        <f t="shared" si="4"/>
        <v>93</v>
      </c>
      <c r="X23" s="121">
        <f t="shared" si="5"/>
        <v>93</v>
      </c>
      <c r="Y23" s="121">
        <f t="shared" si="6"/>
        <v>172</v>
      </c>
      <c r="Z23" s="121">
        <f t="shared" si="7"/>
        <v>172</v>
      </c>
      <c r="AA23" s="159">
        <f t="shared" si="8"/>
        <v>0</v>
      </c>
      <c r="AB23" s="122">
        <f t="shared" si="9"/>
        <v>0</v>
      </c>
    </row>
    <row r="24" spans="1:28" s="123" customFormat="1" ht="42.75" hidden="1" x14ac:dyDescent="0.25">
      <c r="A24" s="161" t="s">
        <v>237</v>
      </c>
      <c r="B24" s="116" t="str">
        <f t="shared" si="0"/>
        <v>[D] Heating &amp; Cooling Systems - Ground Source Heat PumpsCondominium</v>
      </c>
      <c r="C24" s="117" t="s">
        <v>226</v>
      </c>
      <c r="D24" s="124" t="s">
        <v>60</v>
      </c>
      <c r="E24" s="119">
        <v>0.2</v>
      </c>
      <c r="F24" s="119">
        <v>0.3</v>
      </c>
      <c r="G24" s="119">
        <v>0.3</v>
      </c>
      <c r="H24" s="119">
        <v>0.75</v>
      </c>
      <c r="I24" s="119">
        <f t="shared" si="1"/>
        <v>0.52500000000000002</v>
      </c>
      <c r="J24" s="120">
        <v>0</v>
      </c>
      <c r="K24" s="120">
        <f>VLOOKUP(D24,'Existing Building EUI'!$B$7:$E$16,4,FALSE)</f>
        <v>93</v>
      </c>
      <c r="L24" s="120">
        <f>VLOOKUP(D24,'Existing Building EUI'!$B$7:$E$16,3,FALSE)*0.8</f>
        <v>172</v>
      </c>
      <c r="M24" s="158">
        <v>0</v>
      </c>
      <c r="N24" s="158">
        <v>0</v>
      </c>
      <c r="O24" s="159">
        <v>0</v>
      </c>
      <c r="P24" s="159">
        <v>0</v>
      </c>
      <c r="Q24" s="125">
        <v>0.5</v>
      </c>
      <c r="R24" s="119">
        <v>0.6</v>
      </c>
      <c r="S24" s="126">
        <f>Q24/-3</f>
        <v>-0.16666666666666666</v>
      </c>
      <c r="T24" s="126">
        <f>R24/-3</f>
        <v>-0.19999999999999998</v>
      </c>
      <c r="U24" s="121">
        <f t="shared" si="2"/>
        <v>0</v>
      </c>
      <c r="V24" s="121">
        <f t="shared" si="3"/>
        <v>0</v>
      </c>
      <c r="W24" s="121">
        <f t="shared" si="4"/>
        <v>93</v>
      </c>
      <c r="X24" s="121">
        <f t="shared" si="5"/>
        <v>93</v>
      </c>
      <c r="Y24" s="121">
        <f t="shared" si="6"/>
        <v>86</v>
      </c>
      <c r="Z24" s="121">
        <f t="shared" si="7"/>
        <v>68.8</v>
      </c>
      <c r="AA24" s="159">
        <f t="shared" si="8"/>
        <v>0.32452830188679244</v>
      </c>
      <c r="AB24" s="122">
        <f t="shared" si="9"/>
        <v>0.38943396226415089</v>
      </c>
    </row>
    <row r="25" spans="1:28" s="123" customFormat="1" ht="28.5" hidden="1" x14ac:dyDescent="0.25">
      <c r="A25" s="161" t="s">
        <v>237</v>
      </c>
      <c r="B25" s="116" t="str">
        <f t="shared" si="0"/>
        <v>[D] Renewables - Solar PVCondominium</v>
      </c>
      <c r="C25" s="117" t="s">
        <v>249</v>
      </c>
      <c r="D25" s="118" t="s">
        <v>60</v>
      </c>
      <c r="E25" s="119">
        <v>0.01</v>
      </c>
      <c r="F25" s="119">
        <v>0.1</v>
      </c>
      <c r="G25" s="119">
        <v>0.01</v>
      </c>
      <c r="H25" s="119">
        <v>0.05</v>
      </c>
      <c r="I25" s="119">
        <f t="shared" si="1"/>
        <v>3.0000000000000002E-2</v>
      </c>
      <c r="J25" s="120">
        <v>0</v>
      </c>
      <c r="K25" s="120">
        <f>VLOOKUP(D25,'Existing Building EUI'!$B$7:$E$16,4,FALSE)</f>
        <v>93</v>
      </c>
      <c r="L25" s="120">
        <f>VLOOKUP(D25,'Existing Building EUI'!$B$7:$E$16,3,FALSE)*0.8</f>
        <v>172</v>
      </c>
      <c r="M25" s="158">
        <v>0</v>
      </c>
      <c r="N25" s="119">
        <v>0</v>
      </c>
      <c r="O25" s="159">
        <v>0.02</v>
      </c>
      <c r="P25" s="159">
        <v>0.22</v>
      </c>
      <c r="Q25" s="119">
        <v>0</v>
      </c>
      <c r="R25" s="119">
        <v>0</v>
      </c>
      <c r="S25" s="119">
        <v>0</v>
      </c>
      <c r="T25" s="119">
        <v>0</v>
      </c>
      <c r="U25" s="121">
        <f t="shared" si="2"/>
        <v>0</v>
      </c>
      <c r="V25" s="121">
        <f t="shared" si="3"/>
        <v>0</v>
      </c>
      <c r="W25" s="121">
        <f t="shared" si="4"/>
        <v>91.14</v>
      </c>
      <c r="X25" s="121">
        <f t="shared" si="5"/>
        <v>72.539999999999992</v>
      </c>
      <c r="Y25" s="121">
        <f t="shared" si="6"/>
        <v>172</v>
      </c>
      <c r="Z25" s="121">
        <f t="shared" si="7"/>
        <v>172</v>
      </c>
      <c r="AA25" s="159">
        <f t="shared" si="8"/>
        <v>7.018867924528353E-3</v>
      </c>
      <c r="AB25" s="122">
        <f t="shared" si="9"/>
        <v>7.7207547169811347E-2</v>
      </c>
    </row>
    <row r="26" spans="1:28" s="123" customFormat="1" ht="28.5" hidden="1" x14ac:dyDescent="0.25">
      <c r="A26" s="161" t="s">
        <v>237</v>
      </c>
      <c r="B26" s="116" t="str">
        <f t="shared" si="0"/>
        <v>[D] Renewables - Solar ThermalCondominium</v>
      </c>
      <c r="C26" s="117" t="s">
        <v>242</v>
      </c>
      <c r="D26" s="118" t="s">
        <v>60</v>
      </c>
      <c r="E26" s="119">
        <v>0.01</v>
      </c>
      <c r="F26" s="119">
        <v>0.1</v>
      </c>
      <c r="G26" s="119">
        <v>0.01</v>
      </c>
      <c r="H26" s="119">
        <v>0.05</v>
      </c>
      <c r="I26" s="119">
        <f t="shared" si="1"/>
        <v>3.0000000000000002E-2</v>
      </c>
      <c r="J26" s="120">
        <v>0</v>
      </c>
      <c r="K26" s="120">
        <f>VLOOKUP(D26,'Existing Building EUI'!$B$7:$E$16,4,FALSE)</f>
        <v>93</v>
      </c>
      <c r="L26" s="120">
        <f>VLOOKUP(D26,'Existing Building EUI'!$B$7:$E$16,3,FALSE)*0.8</f>
        <v>172</v>
      </c>
      <c r="M26" s="158">
        <v>0</v>
      </c>
      <c r="N26" s="158">
        <v>0</v>
      </c>
      <c r="O26" s="159">
        <v>0</v>
      </c>
      <c r="P26" s="159">
        <v>0</v>
      </c>
      <c r="Q26" s="158">
        <v>0.02</v>
      </c>
      <c r="R26" s="119">
        <v>0.1</v>
      </c>
      <c r="S26" s="119">
        <v>0</v>
      </c>
      <c r="T26" s="119">
        <v>0</v>
      </c>
      <c r="U26" s="121">
        <f t="shared" si="2"/>
        <v>0</v>
      </c>
      <c r="V26" s="121">
        <f t="shared" si="3"/>
        <v>0</v>
      </c>
      <c r="W26" s="121">
        <f t="shared" si="4"/>
        <v>93</v>
      </c>
      <c r="X26" s="121">
        <f t="shared" si="5"/>
        <v>93</v>
      </c>
      <c r="Y26" s="121">
        <f t="shared" si="6"/>
        <v>168.56</v>
      </c>
      <c r="Z26" s="121">
        <f t="shared" si="7"/>
        <v>154.80000000000001</v>
      </c>
      <c r="AA26" s="159">
        <f t="shared" si="8"/>
        <v>1.2981132075471689E-2</v>
      </c>
      <c r="AB26" s="122">
        <f t="shared" si="9"/>
        <v>6.4905660377358454E-2</v>
      </c>
    </row>
    <row r="27" spans="1:28" s="123" customFormat="1" ht="28.5" hidden="1" x14ac:dyDescent="0.25">
      <c r="A27" s="161" t="s">
        <v>237</v>
      </c>
      <c r="B27" s="116" t="str">
        <f t="shared" si="0"/>
        <v>[D] Renewables - Solar ThermalCondominium</v>
      </c>
      <c r="C27" s="117" t="s">
        <v>242</v>
      </c>
      <c r="D27" s="118" t="s">
        <v>60</v>
      </c>
      <c r="E27" s="119">
        <v>0.01</v>
      </c>
      <c r="F27" s="119">
        <v>0.1</v>
      </c>
      <c r="G27" s="119">
        <v>0.01</v>
      </c>
      <c r="H27" s="119">
        <v>0.05</v>
      </c>
      <c r="I27" s="119">
        <f t="shared" si="1"/>
        <v>3.0000000000000002E-2</v>
      </c>
      <c r="J27" s="120">
        <v>0</v>
      </c>
      <c r="K27" s="120">
        <f>VLOOKUP(D27,'Existing Building EUI'!$B$7:$E$16,4,FALSE)</f>
        <v>93</v>
      </c>
      <c r="L27" s="120">
        <f>VLOOKUP(D27,'Existing Building EUI'!$B$7:$E$16,3,FALSE)*0.8</f>
        <v>172</v>
      </c>
      <c r="M27" s="158">
        <v>0</v>
      </c>
      <c r="N27" s="119">
        <v>0</v>
      </c>
      <c r="O27" s="159">
        <v>0</v>
      </c>
      <c r="P27" s="159">
        <v>0</v>
      </c>
      <c r="Q27" s="119">
        <v>0.02</v>
      </c>
      <c r="R27" s="119">
        <v>0.1</v>
      </c>
      <c r="S27" s="119">
        <v>0</v>
      </c>
      <c r="T27" s="119">
        <v>0</v>
      </c>
      <c r="U27" s="121">
        <f t="shared" si="2"/>
        <v>0</v>
      </c>
      <c r="V27" s="121">
        <f t="shared" si="3"/>
        <v>0</v>
      </c>
      <c r="W27" s="121">
        <f t="shared" si="4"/>
        <v>93</v>
      </c>
      <c r="X27" s="121">
        <f t="shared" si="5"/>
        <v>93</v>
      </c>
      <c r="Y27" s="121">
        <f t="shared" si="6"/>
        <v>168.56</v>
      </c>
      <c r="Z27" s="121">
        <f t="shared" si="7"/>
        <v>154.80000000000001</v>
      </c>
      <c r="AA27" s="159">
        <f t="shared" si="8"/>
        <v>1.2981132075471689E-2</v>
      </c>
      <c r="AB27" s="122">
        <f t="shared" si="9"/>
        <v>6.4905660377358454E-2</v>
      </c>
    </row>
    <row r="28" spans="1:28" s="123" customFormat="1" ht="42.75" hidden="1" x14ac:dyDescent="0.25">
      <c r="A28" s="161" t="s">
        <v>237</v>
      </c>
      <c r="B28" s="116" t="str">
        <f t="shared" si="0"/>
        <v>[D] Ventilation System - Energy Recovery Ventilation (ERV) and Electric HeatCondominium</v>
      </c>
      <c r="C28" s="117" t="s">
        <v>245</v>
      </c>
      <c r="D28" s="118" t="s">
        <v>60</v>
      </c>
      <c r="E28" s="119">
        <v>0.21</v>
      </c>
      <c r="F28" s="119">
        <v>0.3</v>
      </c>
      <c r="G28" s="119">
        <v>0.31</v>
      </c>
      <c r="H28" s="119">
        <v>0.4</v>
      </c>
      <c r="I28" s="119">
        <f t="shared" si="1"/>
        <v>0.35499999999999998</v>
      </c>
      <c r="J28" s="120">
        <v>0</v>
      </c>
      <c r="K28" s="120">
        <f>VLOOKUP(D28,'Existing Building EUI'!$B$7:$E$16,4,FALSE)</f>
        <v>93</v>
      </c>
      <c r="L28" s="120">
        <f>VLOOKUP(D28,'Existing Building EUI'!$B$7:$E$16,3,FALSE)*0.8</f>
        <v>172</v>
      </c>
      <c r="M28" s="158">
        <v>0</v>
      </c>
      <c r="N28" s="158">
        <v>0</v>
      </c>
      <c r="O28" s="159">
        <v>0.05</v>
      </c>
      <c r="P28" s="159">
        <v>0.15</v>
      </c>
      <c r="Q28" s="158">
        <v>0.3</v>
      </c>
      <c r="R28" s="119">
        <v>0.35</v>
      </c>
      <c r="S28" s="126">
        <v>0</v>
      </c>
      <c r="T28" s="126">
        <v>0</v>
      </c>
      <c r="U28" s="121">
        <f t="shared" si="2"/>
        <v>0</v>
      </c>
      <c r="V28" s="121">
        <f t="shared" si="3"/>
        <v>0</v>
      </c>
      <c r="W28" s="121">
        <f t="shared" si="4"/>
        <v>88.35</v>
      </c>
      <c r="X28" s="121">
        <f t="shared" si="5"/>
        <v>79.05</v>
      </c>
      <c r="Y28" s="121">
        <f t="shared" si="6"/>
        <v>120.39999999999999</v>
      </c>
      <c r="Z28" s="121">
        <f t="shared" si="7"/>
        <v>111.8</v>
      </c>
      <c r="AA28" s="159">
        <f t="shared" si="8"/>
        <v>0.21226415094339623</v>
      </c>
      <c r="AB28" s="122">
        <f t="shared" si="9"/>
        <v>0.27981132075471699</v>
      </c>
    </row>
    <row r="29" spans="1:28" s="123" customFormat="1" ht="42.75" hidden="1" x14ac:dyDescent="0.25">
      <c r="A29" s="161" t="s">
        <v>237</v>
      </c>
      <c r="B29" s="116" t="str">
        <f t="shared" si="0"/>
        <v>[D] Ventilation System - Energy Recovery Ventilation (ERV) and Electric HeatCondominium</v>
      </c>
      <c r="C29" s="117" t="s">
        <v>245</v>
      </c>
      <c r="D29" s="118" t="s">
        <v>60</v>
      </c>
      <c r="E29" s="119">
        <v>0.21</v>
      </c>
      <c r="F29" s="119">
        <v>0.3</v>
      </c>
      <c r="G29" s="119">
        <v>0.31</v>
      </c>
      <c r="H29" s="119">
        <v>0.4</v>
      </c>
      <c r="I29" s="119">
        <f t="shared" si="1"/>
        <v>0.35499999999999998</v>
      </c>
      <c r="J29" s="120">
        <v>0</v>
      </c>
      <c r="K29" s="120">
        <f>VLOOKUP(D29,'Existing Building EUI'!$B$7:$E$16,4,FALSE)</f>
        <v>93</v>
      </c>
      <c r="L29" s="120">
        <f>VLOOKUP(D29,'Existing Building EUI'!$B$7:$E$16,3,FALSE)*0.8</f>
        <v>172</v>
      </c>
      <c r="M29" s="158">
        <v>0</v>
      </c>
      <c r="N29" s="119">
        <v>0</v>
      </c>
      <c r="O29" s="159">
        <v>0.05</v>
      </c>
      <c r="P29" s="159">
        <v>0.15</v>
      </c>
      <c r="Q29" s="119">
        <v>0.3</v>
      </c>
      <c r="R29" s="119">
        <v>0.35</v>
      </c>
      <c r="S29" s="126">
        <v>0</v>
      </c>
      <c r="T29" s="126">
        <v>0</v>
      </c>
      <c r="U29" s="121">
        <f t="shared" si="2"/>
        <v>0</v>
      </c>
      <c r="V29" s="121">
        <f t="shared" si="3"/>
        <v>0</v>
      </c>
      <c r="W29" s="121">
        <f t="shared" si="4"/>
        <v>88.35</v>
      </c>
      <c r="X29" s="121">
        <f t="shared" si="5"/>
        <v>79.05</v>
      </c>
      <c r="Y29" s="121">
        <f t="shared" si="6"/>
        <v>120.39999999999999</v>
      </c>
      <c r="Z29" s="121">
        <f t="shared" si="7"/>
        <v>111.8</v>
      </c>
      <c r="AA29" s="159">
        <f t="shared" si="8"/>
        <v>0.21226415094339623</v>
      </c>
      <c r="AB29" s="122">
        <f t="shared" si="9"/>
        <v>0.27981132075471699</v>
      </c>
    </row>
    <row r="30" spans="1:28" s="123" customFormat="1" ht="28.5" hidden="1" x14ac:dyDescent="0.25">
      <c r="A30" s="161" t="s">
        <v>237</v>
      </c>
      <c r="B30" s="116" t="str">
        <f t="shared" si="0"/>
        <v>[D] Appliance UpgradesEducational Facility</v>
      </c>
      <c r="C30" s="117" t="s">
        <v>252</v>
      </c>
      <c r="D30" s="118" t="s">
        <v>92</v>
      </c>
      <c r="E30" s="119">
        <v>0.01</v>
      </c>
      <c r="F30" s="119">
        <v>0.02</v>
      </c>
      <c r="G30" s="119">
        <v>0</v>
      </c>
      <c r="H30" s="119">
        <v>0.01</v>
      </c>
      <c r="I30" s="119">
        <f t="shared" si="1"/>
        <v>5.0000000000000001E-3</v>
      </c>
      <c r="J30" s="120">
        <v>0</v>
      </c>
      <c r="K30" s="120">
        <f>VLOOKUP(D30,'Existing Building EUI'!$B$7:$E$16,4,FALSE)</f>
        <v>284</v>
      </c>
      <c r="L30" s="120">
        <f>VLOOKUP(D30,'Existing Building EUI'!$B$7:$E$16,3,FALSE)*0.8</f>
        <v>160.80000000000001</v>
      </c>
      <c r="M30" s="158">
        <v>0</v>
      </c>
      <c r="N30" s="119">
        <v>0</v>
      </c>
      <c r="O30" s="159">
        <v>0.02</v>
      </c>
      <c r="P30" s="159">
        <v>0.04</v>
      </c>
      <c r="Q30" s="119">
        <v>0</v>
      </c>
      <c r="R30" s="119">
        <v>0</v>
      </c>
      <c r="S30" s="119">
        <v>0</v>
      </c>
      <c r="T30" s="119">
        <v>0</v>
      </c>
      <c r="U30" s="121">
        <f t="shared" si="2"/>
        <v>0</v>
      </c>
      <c r="V30" s="121">
        <f t="shared" si="3"/>
        <v>0</v>
      </c>
      <c r="W30" s="121">
        <f t="shared" si="4"/>
        <v>278.32</v>
      </c>
      <c r="X30" s="121">
        <f t="shared" si="5"/>
        <v>272.64</v>
      </c>
      <c r="Y30" s="121">
        <f t="shared" si="6"/>
        <v>160.80000000000001</v>
      </c>
      <c r="Z30" s="121">
        <f t="shared" si="7"/>
        <v>160.80000000000001</v>
      </c>
      <c r="AA30" s="159">
        <f t="shared" si="8"/>
        <v>1.2769784172661886E-2</v>
      </c>
      <c r="AB30" s="122">
        <f t="shared" si="9"/>
        <v>2.5539568345323772E-2</v>
      </c>
    </row>
    <row r="31" spans="1:28" s="123" customFormat="1" ht="42.75" hidden="1" x14ac:dyDescent="0.25">
      <c r="A31" s="161" t="s">
        <v>237</v>
      </c>
      <c r="B31" s="116" t="str">
        <f t="shared" si="0"/>
        <v>[D] Building Envelope - High Performance Glazing with Enhanced Air SealingEducational Facility</v>
      </c>
      <c r="C31" s="117" t="s">
        <v>239</v>
      </c>
      <c r="D31" s="118" t="s">
        <v>92</v>
      </c>
      <c r="E31" s="119">
        <v>0.01</v>
      </c>
      <c r="F31" s="119">
        <v>0.1</v>
      </c>
      <c r="G31" s="119">
        <v>0.01</v>
      </c>
      <c r="H31" s="119">
        <v>0.1</v>
      </c>
      <c r="I31" s="119">
        <v>5.5E-2</v>
      </c>
      <c r="J31" s="120">
        <v>0</v>
      </c>
      <c r="K31" s="120">
        <f>VLOOKUP(D31,'Existing Building EUI'!$B$7:$E$16,4,FALSE)</f>
        <v>284</v>
      </c>
      <c r="L31" s="120">
        <f>VLOOKUP(D31,'Existing Building EUI'!$B$7:$E$16,3,FALSE)*0.8</f>
        <v>160.80000000000001</v>
      </c>
      <c r="M31" s="158">
        <v>0</v>
      </c>
      <c r="N31" s="158">
        <v>0</v>
      </c>
      <c r="O31" s="158">
        <v>0.01</v>
      </c>
      <c r="P31" s="159">
        <v>0.08</v>
      </c>
      <c r="Q31" s="158">
        <v>0.01</v>
      </c>
      <c r="R31" s="119">
        <v>0.12</v>
      </c>
      <c r="S31" s="119">
        <v>0</v>
      </c>
      <c r="T31" s="119">
        <v>0</v>
      </c>
      <c r="U31" s="121">
        <f t="shared" si="2"/>
        <v>0</v>
      </c>
      <c r="V31" s="121">
        <f t="shared" si="3"/>
        <v>0</v>
      </c>
      <c r="W31" s="121">
        <f t="shared" si="4"/>
        <v>281.16000000000003</v>
      </c>
      <c r="X31" s="121">
        <f t="shared" si="5"/>
        <v>261.27999999999997</v>
      </c>
      <c r="Y31" s="121">
        <f t="shared" si="6"/>
        <v>159.19200000000001</v>
      </c>
      <c r="Z31" s="121">
        <f t="shared" si="7"/>
        <v>141.50400000000002</v>
      </c>
      <c r="AA31" s="159">
        <f t="shared" si="8"/>
        <v>9.9999999999999534E-3</v>
      </c>
      <c r="AB31" s="122">
        <f t="shared" si="9"/>
        <v>9.4460431654676297E-2</v>
      </c>
    </row>
    <row r="32" spans="1:28" s="123" customFormat="1" ht="42.75" hidden="1" x14ac:dyDescent="0.25">
      <c r="A32" s="161" t="s">
        <v>237</v>
      </c>
      <c r="B32" s="116" t="str">
        <f t="shared" si="0"/>
        <v>[D] Building Envelope - High Performance Glazing, Wall Insulation, &amp; Roof InsulationEducational Facility</v>
      </c>
      <c r="C32" s="117" t="s">
        <v>240</v>
      </c>
      <c r="D32" s="118" t="s">
        <v>92</v>
      </c>
      <c r="E32" s="119">
        <v>0.01</v>
      </c>
      <c r="F32" s="119">
        <v>0.1</v>
      </c>
      <c r="G32" s="119">
        <v>0.01</v>
      </c>
      <c r="H32" s="119">
        <v>0.1</v>
      </c>
      <c r="I32" s="119">
        <v>5.5E-2</v>
      </c>
      <c r="J32" s="120">
        <v>0</v>
      </c>
      <c r="K32" s="120">
        <f>VLOOKUP(D32,'Existing Building EUI'!$B$7:$E$16,4,FALSE)</f>
        <v>284</v>
      </c>
      <c r="L32" s="120">
        <f>VLOOKUP(D32,'Existing Building EUI'!$B$7:$E$16,3,FALSE)*0.8</f>
        <v>160.80000000000001</v>
      </c>
      <c r="M32" s="158">
        <v>0</v>
      </c>
      <c r="N32" s="158">
        <v>0</v>
      </c>
      <c r="O32" s="159">
        <v>0.08</v>
      </c>
      <c r="P32" s="159">
        <v>0.15</v>
      </c>
      <c r="Q32" s="158">
        <v>0.15</v>
      </c>
      <c r="R32" s="119">
        <v>0.2</v>
      </c>
      <c r="S32" s="119">
        <v>0</v>
      </c>
      <c r="T32" s="119">
        <v>0</v>
      </c>
      <c r="U32" s="121">
        <f t="shared" si="2"/>
        <v>0</v>
      </c>
      <c r="V32" s="121">
        <f t="shared" si="3"/>
        <v>0</v>
      </c>
      <c r="W32" s="121">
        <f t="shared" si="4"/>
        <v>261.27999999999997</v>
      </c>
      <c r="X32" s="121">
        <f t="shared" si="5"/>
        <v>241.4</v>
      </c>
      <c r="Y32" s="121">
        <f t="shared" si="6"/>
        <v>136.68</v>
      </c>
      <c r="Z32" s="121">
        <f t="shared" si="7"/>
        <v>128.64000000000001</v>
      </c>
      <c r="AA32" s="159">
        <f t="shared" si="8"/>
        <v>0.10530575539568353</v>
      </c>
      <c r="AB32" s="122">
        <f t="shared" si="9"/>
        <v>0.16807553956834531</v>
      </c>
    </row>
    <row r="33" spans="1:28" s="123" customFormat="1" ht="42.75" x14ac:dyDescent="0.25">
      <c r="A33" s="161" t="s">
        <v>237</v>
      </c>
      <c r="B33" s="116" t="str">
        <f t="shared" si="0"/>
        <v>[D] Domestic Hot Water - Low Carbon District Energy SystemEducational Facility</v>
      </c>
      <c r="C33" s="117" t="s">
        <v>278</v>
      </c>
      <c r="D33" s="124" t="s">
        <v>92</v>
      </c>
      <c r="E33" s="119">
        <v>0.2</v>
      </c>
      <c r="F33" s="119">
        <v>0.3</v>
      </c>
      <c r="G33" s="119">
        <v>0.3</v>
      </c>
      <c r="H33" s="119">
        <v>0.75</v>
      </c>
      <c r="I33" s="119">
        <f t="shared" ref="I33:I41" si="10">AVERAGE(G33:H33)</f>
        <v>0.52500000000000002</v>
      </c>
      <c r="J33" s="120">
        <v>0</v>
      </c>
      <c r="K33" s="120">
        <f>VLOOKUP(D33,'Existing Building EUI'!$B$7:$E$16,4,FALSE)</f>
        <v>284</v>
      </c>
      <c r="L33" s="120">
        <f>VLOOKUP(D33,'Existing Building EUI'!$B$7:$E$16,3,FALSE)*0.8</f>
        <v>160.80000000000001</v>
      </c>
      <c r="M33" s="158">
        <v>0</v>
      </c>
      <c r="N33" s="158">
        <v>0</v>
      </c>
      <c r="O33" s="159">
        <v>0</v>
      </c>
      <c r="P33" s="159">
        <v>0</v>
      </c>
      <c r="Q33" s="119">
        <v>0</v>
      </c>
      <c r="R33" s="119">
        <v>0</v>
      </c>
      <c r="S33" s="119">
        <v>0</v>
      </c>
      <c r="T33" s="119">
        <v>0</v>
      </c>
      <c r="U33" s="121">
        <f t="shared" si="2"/>
        <v>0</v>
      </c>
      <c r="V33" s="121">
        <f t="shared" si="3"/>
        <v>0</v>
      </c>
      <c r="W33" s="121">
        <f t="shared" si="4"/>
        <v>284</v>
      </c>
      <c r="X33" s="121">
        <f t="shared" si="5"/>
        <v>284</v>
      </c>
      <c r="Y33" s="121">
        <f t="shared" si="6"/>
        <v>160.80000000000001</v>
      </c>
      <c r="Z33" s="121">
        <f t="shared" si="7"/>
        <v>160.80000000000001</v>
      </c>
      <c r="AA33" s="159">
        <f t="shared" si="8"/>
        <v>0</v>
      </c>
      <c r="AB33" s="122">
        <f t="shared" si="9"/>
        <v>0</v>
      </c>
    </row>
    <row r="34" spans="1:28" s="123" customFormat="1" ht="42.75" x14ac:dyDescent="0.25">
      <c r="A34" s="161" t="s">
        <v>237</v>
      </c>
      <c r="B34" s="116" t="str">
        <f t="shared" si="0"/>
        <v>[D] Domestic Hot Water - Heat Pump and Electric Resistance Water HeatersEducational Facility</v>
      </c>
      <c r="C34" s="117" t="s">
        <v>228</v>
      </c>
      <c r="D34" s="124" t="s">
        <v>92</v>
      </c>
      <c r="E34" s="119">
        <v>0.2</v>
      </c>
      <c r="F34" s="119">
        <v>0.3</v>
      </c>
      <c r="G34" s="119">
        <v>0.3</v>
      </c>
      <c r="H34" s="119">
        <v>0.75</v>
      </c>
      <c r="I34" s="119">
        <f t="shared" si="10"/>
        <v>0.52500000000000002</v>
      </c>
      <c r="J34" s="120">
        <v>0</v>
      </c>
      <c r="K34" s="120">
        <f>VLOOKUP(D34,'Existing Building EUI'!$B$7:$E$16,4,FALSE)</f>
        <v>284</v>
      </c>
      <c r="L34" s="120">
        <f>VLOOKUP(D34,'Existing Building EUI'!$B$7:$E$16,3,FALSE)*0.8</f>
        <v>160.80000000000001</v>
      </c>
      <c r="M34" s="158">
        <v>0</v>
      </c>
      <c r="N34" s="158">
        <v>0</v>
      </c>
      <c r="O34" s="159">
        <v>0</v>
      </c>
      <c r="P34" s="159">
        <v>0</v>
      </c>
      <c r="Q34" s="125">
        <v>0.02</v>
      </c>
      <c r="R34" s="119">
        <v>0.15</v>
      </c>
      <c r="S34" s="125">
        <f>Q34/-4</f>
        <v>-5.0000000000000001E-3</v>
      </c>
      <c r="T34" s="125">
        <f>R34/-4</f>
        <v>-3.7499999999999999E-2</v>
      </c>
      <c r="U34" s="121">
        <f t="shared" si="2"/>
        <v>0</v>
      </c>
      <c r="V34" s="121">
        <f t="shared" si="3"/>
        <v>0</v>
      </c>
      <c r="W34" s="121">
        <f t="shared" si="4"/>
        <v>284</v>
      </c>
      <c r="X34" s="121">
        <f t="shared" si="5"/>
        <v>284</v>
      </c>
      <c r="Y34" s="121">
        <f t="shared" si="6"/>
        <v>157.584</v>
      </c>
      <c r="Z34" s="121">
        <f t="shared" si="7"/>
        <v>136.68</v>
      </c>
      <c r="AA34" s="159">
        <f t="shared" si="8"/>
        <v>7.2302158273381475E-3</v>
      </c>
      <c r="AB34" s="122">
        <f t="shared" si="9"/>
        <v>5.4226618705035978E-2</v>
      </c>
    </row>
    <row r="35" spans="1:28" s="123" customFormat="1" ht="28.5" hidden="1" x14ac:dyDescent="0.25">
      <c r="A35" s="161" t="s">
        <v>237</v>
      </c>
      <c r="B35" s="116" t="str">
        <f t="shared" si="0"/>
        <v>[D] Gas Appliances - Electric and Induction RangesEducational Facility</v>
      </c>
      <c r="C35" s="117" t="s">
        <v>246</v>
      </c>
      <c r="D35" s="118" t="s">
        <v>92</v>
      </c>
      <c r="E35" s="119">
        <v>0.01</v>
      </c>
      <c r="F35" s="119">
        <v>0.1</v>
      </c>
      <c r="G35" s="119">
        <v>0.05</v>
      </c>
      <c r="H35" s="119">
        <v>0.2</v>
      </c>
      <c r="I35" s="119">
        <f t="shared" si="10"/>
        <v>0.125</v>
      </c>
      <c r="J35" s="120">
        <v>0</v>
      </c>
      <c r="K35" s="120">
        <f>VLOOKUP(D35,'Existing Building EUI'!$B$7:$E$16,4,FALSE)</f>
        <v>284</v>
      </c>
      <c r="L35" s="120">
        <f>VLOOKUP(D35,'Existing Building EUI'!$B$7:$E$16,3,FALSE)*0.8</f>
        <v>160.80000000000001</v>
      </c>
      <c r="M35" s="158">
        <v>1</v>
      </c>
      <c r="N35" s="119">
        <v>1</v>
      </c>
      <c r="O35" s="159">
        <v>0</v>
      </c>
      <c r="P35" s="159">
        <v>0</v>
      </c>
      <c r="Q35" s="119">
        <v>0</v>
      </c>
      <c r="R35" s="119">
        <v>0</v>
      </c>
      <c r="S35" s="126">
        <f>(M35*0.02)/-2</f>
        <v>-0.01</v>
      </c>
      <c r="T35" s="126">
        <f>(N35*0.15)/-2</f>
        <v>-7.4999999999999997E-2</v>
      </c>
      <c r="U35" s="121">
        <f t="shared" si="2"/>
        <v>0</v>
      </c>
      <c r="V35" s="121">
        <f t="shared" si="3"/>
        <v>0</v>
      </c>
      <c r="W35" s="121">
        <f t="shared" si="4"/>
        <v>284</v>
      </c>
      <c r="X35" s="121">
        <f t="shared" si="5"/>
        <v>284</v>
      </c>
      <c r="Y35" s="121">
        <f t="shared" si="6"/>
        <v>160.80000000000001</v>
      </c>
      <c r="Z35" s="121">
        <f t="shared" si="7"/>
        <v>160.80000000000001</v>
      </c>
      <c r="AA35" s="159">
        <f t="shared" si="8"/>
        <v>0</v>
      </c>
      <c r="AB35" s="122">
        <f t="shared" si="9"/>
        <v>0</v>
      </c>
    </row>
    <row r="36" spans="1:28" s="123" customFormat="1" ht="42.75" hidden="1" x14ac:dyDescent="0.25">
      <c r="A36" s="161" t="s">
        <v>237</v>
      </c>
      <c r="B36" s="116" t="str">
        <f t="shared" si="0"/>
        <v>[D] Heating &amp; Cooling Systems - Air Source Heat PumpsEducational Facility</v>
      </c>
      <c r="C36" s="117" t="s">
        <v>225</v>
      </c>
      <c r="D36" s="124" t="s">
        <v>92</v>
      </c>
      <c r="E36" s="119">
        <v>0.2</v>
      </c>
      <c r="F36" s="119">
        <v>0.3</v>
      </c>
      <c r="G36" s="119">
        <v>0.3</v>
      </c>
      <c r="H36" s="119">
        <v>0.75</v>
      </c>
      <c r="I36" s="119">
        <f t="shared" si="10"/>
        <v>0.52500000000000002</v>
      </c>
      <c r="J36" s="120">
        <v>0</v>
      </c>
      <c r="K36" s="120">
        <f>VLOOKUP(D36,'Existing Building EUI'!$B$7:$E$16,4,FALSE)</f>
        <v>284</v>
      </c>
      <c r="L36" s="120">
        <f>VLOOKUP(D36,'Existing Building EUI'!$B$7:$E$16,3,FALSE)*0.8</f>
        <v>160.80000000000001</v>
      </c>
      <c r="M36" s="158">
        <v>0</v>
      </c>
      <c r="N36" s="158">
        <v>0</v>
      </c>
      <c r="O36" s="159">
        <v>0</v>
      </c>
      <c r="P36" s="159">
        <v>0</v>
      </c>
      <c r="Q36" s="125">
        <v>0.8</v>
      </c>
      <c r="R36" s="119">
        <v>0.98</v>
      </c>
      <c r="S36" s="125">
        <f>Q36/-2</f>
        <v>-0.4</v>
      </c>
      <c r="T36" s="125">
        <f>R36/-2</f>
        <v>-0.49</v>
      </c>
      <c r="U36" s="121">
        <f t="shared" si="2"/>
        <v>0</v>
      </c>
      <c r="V36" s="121">
        <f t="shared" si="3"/>
        <v>0</v>
      </c>
      <c r="W36" s="121">
        <f t="shared" si="4"/>
        <v>284</v>
      </c>
      <c r="X36" s="121">
        <f t="shared" si="5"/>
        <v>284</v>
      </c>
      <c r="Y36" s="121">
        <f t="shared" si="6"/>
        <v>32.159999999999997</v>
      </c>
      <c r="Z36" s="121">
        <f t="shared" si="7"/>
        <v>3.2160000000000033</v>
      </c>
      <c r="AA36" s="159">
        <f t="shared" si="8"/>
        <v>0.28920863309352529</v>
      </c>
      <c r="AB36" s="122">
        <f t="shared" si="9"/>
        <v>0.35428057553956832</v>
      </c>
    </row>
    <row r="37" spans="1:28" s="123" customFormat="1" ht="42.75" hidden="1" x14ac:dyDescent="0.25">
      <c r="A37" s="161" t="s">
        <v>237</v>
      </c>
      <c r="B37" s="116" t="str">
        <f t="shared" si="0"/>
        <v>[D] Heating &amp; Cooling Systems - Low Carbon District Energy SystemEducational Facility</v>
      </c>
      <c r="C37" s="117" t="s">
        <v>279</v>
      </c>
      <c r="D37" s="124" t="s">
        <v>92</v>
      </c>
      <c r="E37" s="119">
        <v>0.2</v>
      </c>
      <c r="F37" s="119">
        <v>0.3</v>
      </c>
      <c r="G37" s="119">
        <v>0.3</v>
      </c>
      <c r="H37" s="119">
        <v>0.75</v>
      </c>
      <c r="I37" s="119">
        <f t="shared" si="10"/>
        <v>0.52500000000000002</v>
      </c>
      <c r="J37" s="120">
        <v>0</v>
      </c>
      <c r="K37" s="120">
        <f>VLOOKUP(D37,'Existing Building EUI'!$B$7:$E$16,4,FALSE)</f>
        <v>284</v>
      </c>
      <c r="L37" s="120">
        <f>VLOOKUP(D37,'Existing Building EUI'!$B$7:$E$16,3,FALSE)*0.8</f>
        <v>160.80000000000001</v>
      </c>
      <c r="M37" s="158">
        <v>0</v>
      </c>
      <c r="N37" s="158">
        <v>0</v>
      </c>
      <c r="O37" s="159">
        <v>0</v>
      </c>
      <c r="P37" s="159">
        <v>0</v>
      </c>
      <c r="Q37" s="119">
        <v>0</v>
      </c>
      <c r="R37" s="119">
        <v>0</v>
      </c>
      <c r="S37" s="119">
        <v>0</v>
      </c>
      <c r="T37" s="119">
        <v>0</v>
      </c>
      <c r="U37" s="121">
        <f t="shared" si="2"/>
        <v>0</v>
      </c>
      <c r="V37" s="121">
        <f t="shared" si="3"/>
        <v>0</v>
      </c>
      <c r="W37" s="121">
        <f t="shared" si="4"/>
        <v>284</v>
      </c>
      <c r="X37" s="121">
        <f t="shared" si="5"/>
        <v>284</v>
      </c>
      <c r="Y37" s="121">
        <f t="shared" si="6"/>
        <v>160.80000000000001</v>
      </c>
      <c r="Z37" s="121">
        <f t="shared" si="7"/>
        <v>160.80000000000001</v>
      </c>
      <c r="AA37" s="159">
        <f t="shared" si="8"/>
        <v>0</v>
      </c>
      <c r="AB37" s="122">
        <f t="shared" si="9"/>
        <v>0</v>
      </c>
    </row>
    <row r="38" spans="1:28" s="123" customFormat="1" ht="42.75" hidden="1" x14ac:dyDescent="0.25">
      <c r="A38" s="161" t="s">
        <v>237</v>
      </c>
      <c r="B38" s="116" t="str">
        <f t="shared" ref="B38:B69" si="11">C38&amp;D38</f>
        <v>[D] Heating &amp; Cooling Systems - Ground Source Heat PumpsEducational Facility</v>
      </c>
      <c r="C38" s="117" t="s">
        <v>226</v>
      </c>
      <c r="D38" s="124" t="s">
        <v>92</v>
      </c>
      <c r="E38" s="119">
        <v>0.2</v>
      </c>
      <c r="F38" s="119">
        <v>0.3</v>
      </c>
      <c r="G38" s="119">
        <v>0.3</v>
      </c>
      <c r="H38" s="119">
        <v>0.75</v>
      </c>
      <c r="I38" s="119">
        <f t="shared" si="10"/>
        <v>0.52500000000000002</v>
      </c>
      <c r="J38" s="120">
        <v>0</v>
      </c>
      <c r="K38" s="120">
        <f>VLOOKUP(D38,'Existing Building EUI'!$B$7:$E$16,4,FALSE)</f>
        <v>284</v>
      </c>
      <c r="L38" s="120">
        <f>VLOOKUP(D38,'Existing Building EUI'!$B$7:$E$16,3,FALSE)*0.8</f>
        <v>160.80000000000001</v>
      </c>
      <c r="M38" s="158">
        <v>0</v>
      </c>
      <c r="N38" s="158">
        <v>0</v>
      </c>
      <c r="O38" s="159">
        <v>0</v>
      </c>
      <c r="P38" s="159">
        <v>0</v>
      </c>
      <c r="Q38" s="125">
        <v>0.8</v>
      </c>
      <c r="R38" s="119">
        <v>0.98</v>
      </c>
      <c r="S38" s="126">
        <f>Q38/-3</f>
        <v>-0.26666666666666666</v>
      </c>
      <c r="T38" s="126">
        <f>R38/-3</f>
        <v>-0.32666666666666666</v>
      </c>
      <c r="U38" s="121">
        <f t="shared" ref="U38:U69" si="12">J38-(J38*M38)</f>
        <v>0</v>
      </c>
      <c r="V38" s="121">
        <f t="shared" ref="V38:V69" si="13">J38-(J38*N38)</f>
        <v>0</v>
      </c>
      <c r="W38" s="121">
        <f t="shared" ref="W38:W69" si="14">K38-((K38*O38)+(J38*S38))</f>
        <v>284</v>
      </c>
      <c r="X38" s="121">
        <f t="shared" ref="X38:X69" si="15">K38-((K38*P38)+(J38*T38))</f>
        <v>284</v>
      </c>
      <c r="Y38" s="121">
        <f t="shared" ref="Y38:Y69" si="16">(1-Q38)*L38</f>
        <v>32.159999999999997</v>
      </c>
      <c r="Z38" s="121">
        <f t="shared" ref="Z38:Z69" si="17">(1-R38)*L38</f>
        <v>3.2160000000000033</v>
      </c>
      <c r="AA38" s="159">
        <f t="shared" ref="AA38:AA69" si="18">(SUM(U38,W38,Y38)-SUM(J38:L38))/SUM(J38:L38)*-1</f>
        <v>0.28920863309352529</v>
      </c>
      <c r="AB38" s="122">
        <f t="shared" ref="AB38:AB69" si="19">(SUM(V38,X38,Z38)-SUM(J38:L38))/SUM(J38:L38)*-1</f>
        <v>0.35428057553956832</v>
      </c>
    </row>
    <row r="39" spans="1:28" s="123" customFormat="1" ht="28.5" hidden="1" x14ac:dyDescent="0.25">
      <c r="A39" s="161" t="s">
        <v>237</v>
      </c>
      <c r="B39" s="116" t="str">
        <f t="shared" si="11"/>
        <v>[D] Lighting and Lighting ControlsEducational Facility</v>
      </c>
      <c r="C39" s="117" t="s">
        <v>253</v>
      </c>
      <c r="D39" s="118" t="s">
        <v>92</v>
      </c>
      <c r="E39" s="119">
        <v>0.01</v>
      </c>
      <c r="F39" s="119">
        <v>0.1</v>
      </c>
      <c r="G39" s="119">
        <v>0.01</v>
      </c>
      <c r="H39" s="119">
        <v>0.05</v>
      </c>
      <c r="I39" s="119">
        <f t="shared" si="10"/>
        <v>3.0000000000000002E-2</v>
      </c>
      <c r="J39" s="120">
        <v>0</v>
      </c>
      <c r="K39" s="120">
        <f>VLOOKUP(D39,'Existing Building EUI'!$B$7:$E$16,4,FALSE)</f>
        <v>284</v>
      </c>
      <c r="L39" s="120">
        <f>VLOOKUP(D39,'Existing Building EUI'!$B$7:$E$16,3,FALSE)*0.8</f>
        <v>160.80000000000001</v>
      </c>
      <c r="M39" s="158">
        <v>0</v>
      </c>
      <c r="N39" s="119">
        <v>0</v>
      </c>
      <c r="O39" s="159">
        <v>0.01</v>
      </c>
      <c r="P39" s="159">
        <v>0.17</v>
      </c>
      <c r="Q39" s="119">
        <v>0</v>
      </c>
      <c r="R39" s="119">
        <v>0</v>
      </c>
      <c r="S39" s="119">
        <v>0</v>
      </c>
      <c r="T39" s="119">
        <v>0</v>
      </c>
      <c r="U39" s="121">
        <f t="shared" si="12"/>
        <v>0</v>
      </c>
      <c r="V39" s="121">
        <f t="shared" si="13"/>
        <v>0</v>
      </c>
      <c r="W39" s="121">
        <f t="shared" si="14"/>
        <v>281.16000000000003</v>
      </c>
      <c r="X39" s="121">
        <f t="shared" si="15"/>
        <v>235.72</v>
      </c>
      <c r="Y39" s="121">
        <f t="shared" si="16"/>
        <v>160.80000000000001</v>
      </c>
      <c r="Z39" s="121">
        <f t="shared" si="17"/>
        <v>160.80000000000001</v>
      </c>
      <c r="AA39" s="159">
        <f t="shared" si="18"/>
        <v>6.3848920863308787E-3</v>
      </c>
      <c r="AB39" s="122">
        <f t="shared" si="19"/>
        <v>0.10854316546762596</v>
      </c>
    </row>
    <row r="40" spans="1:28" s="123" customFormat="1" ht="28.5" hidden="1" x14ac:dyDescent="0.25">
      <c r="A40" s="161" t="s">
        <v>237</v>
      </c>
      <c r="B40" s="116" t="str">
        <f t="shared" si="11"/>
        <v>[D] Renewables - Solar PVEducational Facility</v>
      </c>
      <c r="C40" s="117" t="s">
        <v>249</v>
      </c>
      <c r="D40" s="118" t="s">
        <v>92</v>
      </c>
      <c r="E40" s="119">
        <v>0.01</v>
      </c>
      <c r="F40" s="119">
        <v>0.1</v>
      </c>
      <c r="G40" s="119">
        <v>0.01</v>
      </c>
      <c r="H40" s="119">
        <v>0.03</v>
      </c>
      <c r="I40" s="119">
        <f t="shared" si="10"/>
        <v>0.02</v>
      </c>
      <c r="J40" s="120">
        <v>0</v>
      </c>
      <c r="K40" s="120">
        <f>VLOOKUP(D40,'Existing Building EUI'!$B$7:$E$16,4,FALSE)</f>
        <v>284</v>
      </c>
      <c r="L40" s="120">
        <f>VLOOKUP(D40,'Existing Building EUI'!$B$7:$E$16,3,FALSE)*0.8</f>
        <v>160.80000000000001</v>
      </c>
      <c r="M40" s="158">
        <v>0</v>
      </c>
      <c r="N40" s="119">
        <v>0</v>
      </c>
      <c r="O40" s="159">
        <v>0.02</v>
      </c>
      <c r="P40" s="159">
        <v>0.17</v>
      </c>
      <c r="Q40" s="119">
        <v>0</v>
      </c>
      <c r="R40" s="119">
        <v>0</v>
      </c>
      <c r="S40" s="119">
        <v>0</v>
      </c>
      <c r="T40" s="119">
        <v>0</v>
      </c>
      <c r="U40" s="121">
        <f t="shared" si="12"/>
        <v>0</v>
      </c>
      <c r="V40" s="121">
        <f t="shared" si="13"/>
        <v>0</v>
      </c>
      <c r="W40" s="121">
        <f t="shared" si="14"/>
        <v>278.32</v>
      </c>
      <c r="X40" s="121">
        <f t="shared" si="15"/>
        <v>235.72</v>
      </c>
      <c r="Y40" s="121">
        <f t="shared" si="16"/>
        <v>160.80000000000001</v>
      </c>
      <c r="Z40" s="121">
        <f t="shared" si="17"/>
        <v>160.80000000000001</v>
      </c>
      <c r="AA40" s="159">
        <f t="shared" si="18"/>
        <v>1.2769784172661886E-2</v>
      </c>
      <c r="AB40" s="122">
        <f t="shared" si="19"/>
        <v>0.10854316546762596</v>
      </c>
    </row>
    <row r="41" spans="1:28" s="123" customFormat="1" ht="28.5" hidden="1" x14ac:dyDescent="0.25">
      <c r="A41" s="161" t="s">
        <v>237</v>
      </c>
      <c r="B41" s="116" t="str">
        <f t="shared" si="11"/>
        <v>[D] Appliance UpgradesLow Rise Office</v>
      </c>
      <c r="C41" s="117" t="s">
        <v>252</v>
      </c>
      <c r="D41" s="118" t="s">
        <v>117</v>
      </c>
      <c r="E41" s="119">
        <v>0.01</v>
      </c>
      <c r="F41" s="119">
        <v>0.02</v>
      </c>
      <c r="G41" s="119">
        <v>0</v>
      </c>
      <c r="H41" s="119">
        <v>0.01</v>
      </c>
      <c r="I41" s="119">
        <f t="shared" si="10"/>
        <v>5.0000000000000001E-3</v>
      </c>
      <c r="J41" s="120">
        <v>0</v>
      </c>
      <c r="K41" s="120">
        <f>VLOOKUP(D41,'Existing Building EUI'!$B$7:$E$16,4,FALSE)</f>
        <v>204</v>
      </c>
      <c r="L41" s="120">
        <f>VLOOKUP(D41,'Existing Building EUI'!$B$7:$E$16,3,FALSE)*0.8</f>
        <v>119.2</v>
      </c>
      <c r="M41" s="158">
        <v>0</v>
      </c>
      <c r="N41" s="119">
        <v>0</v>
      </c>
      <c r="O41" s="159">
        <v>0.02</v>
      </c>
      <c r="P41" s="159">
        <v>0.04</v>
      </c>
      <c r="Q41" s="119">
        <v>0</v>
      </c>
      <c r="R41" s="119">
        <v>0</v>
      </c>
      <c r="S41" s="119">
        <v>0</v>
      </c>
      <c r="T41" s="119">
        <v>0</v>
      </c>
      <c r="U41" s="121">
        <f t="shared" si="12"/>
        <v>0</v>
      </c>
      <c r="V41" s="121">
        <f t="shared" si="13"/>
        <v>0</v>
      </c>
      <c r="W41" s="121">
        <f t="shared" si="14"/>
        <v>199.92</v>
      </c>
      <c r="X41" s="121">
        <f t="shared" si="15"/>
        <v>195.84</v>
      </c>
      <c r="Y41" s="121">
        <f t="shared" si="16"/>
        <v>119.2</v>
      </c>
      <c r="Z41" s="121">
        <f t="shared" si="17"/>
        <v>119.2</v>
      </c>
      <c r="AA41" s="159">
        <f t="shared" si="18"/>
        <v>1.2623762376237574E-2</v>
      </c>
      <c r="AB41" s="122">
        <f t="shared" si="19"/>
        <v>2.5247524752475149E-2</v>
      </c>
    </row>
    <row r="42" spans="1:28" s="123" customFormat="1" ht="42.75" hidden="1" x14ac:dyDescent="0.25">
      <c r="A42" s="161" t="s">
        <v>237</v>
      </c>
      <c r="B42" s="116" t="str">
        <f t="shared" si="11"/>
        <v>[D] Building Envelope - High Performance Glazing with Enhanced Air SealingLow Rise Office</v>
      </c>
      <c r="C42" s="117" t="s">
        <v>239</v>
      </c>
      <c r="D42" s="118" t="s">
        <v>117</v>
      </c>
      <c r="E42" s="119">
        <v>0.01</v>
      </c>
      <c r="F42" s="119">
        <v>0.1</v>
      </c>
      <c r="G42" s="119">
        <v>0.01</v>
      </c>
      <c r="H42" s="119">
        <v>0.1</v>
      </c>
      <c r="I42" s="119">
        <v>5.5E-2</v>
      </c>
      <c r="J42" s="120">
        <v>0</v>
      </c>
      <c r="K42" s="120">
        <f>VLOOKUP(D42,'Existing Building EUI'!$B$7:$E$16,4,FALSE)</f>
        <v>204</v>
      </c>
      <c r="L42" s="120">
        <f>VLOOKUP(D42,'Existing Building EUI'!$B$7:$E$16,3,FALSE)*0.8</f>
        <v>119.2</v>
      </c>
      <c r="M42" s="158">
        <v>0</v>
      </c>
      <c r="N42" s="158">
        <v>0</v>
      </c>
      <c r="O42" s="158">
        <v>0.01</v>
      </c>
      <c r="P42" s="159">
        <v>0.08</v>
      </c>
      <c r="Q42" s="158">
        <v>0.01</v>
      </c>
      <c r="R42" s="119">
        <v>0.12</v>
      </c>
      <c r="S42" s="119">
        <v>0</v>
      </c>
      <c r="T42" s="119">
        <v>0</v>
      </c>
      <c r="U42" s="121">
        <f t="shared" si="12"/>
        <v>0</v>
      </c>
      <c r="V42" s="121">
        <f t="shared" si="13"/>
        <v>0</v>
      </c>
      <c r="W42" s="121">
        <f t="shared" si="14"/>
        <v>201.96</v>
      </c>
      <c r="X42" s="121">
        <f t="shared" si="15"/>
        <v>187.68</v>
      </c>
      <c r="Y42" s="121">
        <f t="shared" si="16"/>
        <v>118.008</v>
      </c>
      <c r="Z42" s="121">
        <f t="shared" si="17"/>
        <v>104.896</v>
      </c>
      <c r="AA42" s="159">
        <f t="shared" si="18"/>
        <v>9.99999999999991E-3</v>
      </c>
      <c r="AB42" s="122">
        <f t="shared" si="19"/>
        <v>9.4752475247524656E-2</v>
      </c>
    </row>
    <row r="43" spans="1:28" s="123" customFormat="1" ht="42.75" hidden="1" x14ac:dyDescent="0.25">
      <c r="A43" s="161" t="s">
        <v>237</v>
      </c>
      <c r="B43" s="116" t="str">
        <f t="shared" si="11"/>
        <v>[D] Building Envelope - High Performance Glazing, Wall Insulation, &amp; Roof InsulationLow Rise Office</v>
      </c>
      <c r="C43" s="117" t="s">
        <v>240</v>
      </c>
      <c r="D43" s="118" t="s">
        <v>117</v>
      </c>
      <c r="E43" s="119">
        <v>0.01</v>
      </c>
      <c r="F43" s="119">
        <v>0.1</v>
      </c>
      <c r="G43" s="119">
        <v>0.01</v>
      </c>
      <c r="H43" s="119">
        <v>0.1</v>
      </c>
      <c r="I43" s="119">
        <v>5.5E-2</v>
      </c>
      <c r="J43" s="120">
        <v>0</v>
      </c>
      <c r="K43" s="120">
        <f>VLOOKUP(D43,'Existing Building EUI'!$B$7:$E$16,4,FALSE)</f>
        <v>204</v>
      </c>
      <c r="L43" s="120">
        <f>VLOOKUP(D43,'Existing Building EUI'!$B$7:$E$16,3,FALSE)*0.8</f>
        <v>119.2</v>
      </c>
      <c r="M43" s="158">
        <v>0</v>
      </c>
      <c r="N43" s="158">
        <v>0</v>
      </c>
      <c r="O43" s="159">
        <v>0.08</v>
      </c>
      <c r="P43" s="159">
        <v>0.15</v>
      </c>
      <c r="Q43" s="158">
        <v>0.15</v>
      </c>
      <c r="R43" s="119">
        <v>0.2</v>
      </c>
      <c r="S43" s="119">
        <v>0</v>
      </c>
      <c r="T43" s="119">
        <v>0</v>
      </c>
      <c r="U43" s="121">
        <f t="shared" si="12"/>
        <v>0</v>
      </c>
      <c r="V43" s="121">
        <f t="shared" si="13"/>
        <v>0</v>
      </c>
      <c r="W43" s="121">
        <f t="shared" si="14"/>
        <v>187.68</v>
      </c>
      <c r="X43" s="121">
        <f t="shared" si="15"/>
        <v>173.4</v>
      </c>
      <c r="Y43" s="121">
        <f t="shared" si="16"/>
        <v>101.32</v>
      </c>
      <c r="Z43" s="121">
        <f t="shared" si="17"/>
        <v>95.360000000000014</v>
      </c>
      <c r="AA43" s="159">
        <f t="shared" si="18"/>
        <v>0.10581683168316829</v>
      </c>
      <c r="AB43" s="122">
        <f t="shared" si="19"/>
        <v>0.16844059405940595</v>
      </c>
    </row>
    <row r="44" spans="1:28" s="123" customFormat="1" ht="42.75" x14ac:dyDescent="0.25">
      <c r="A44" s="161" t="s">
        <v>237</v>
      </c>
      <c r="B44" s="116" t="str">
        <f t="shared" si="11"/>
        <v>[D] Domestic Hot Water - Low Carbon District Energy SystemLow Rise Office</v>
      </c>
      <c r="C44" s="117" t="s">
        <v>278</v>
      </c>
      <c r="D44" s="124" t="s">
        <v>117</v>
      </c>
      <c r="E44" s="119">
        <v>0.2</v>
      </c>
      <c r="F44" s="119">
        <v>0.3</v>
      </c>
      <c r="G44" s="119">
        <v>0.3</v>
      </c>
      <c r="H44" s="119">
        <v>0.75</v>
      </c>
      <c r="I44" s="119">
        <f t="shared" ref="I44:I51" si="20">AVERAGE(G44:H44)</f>
        <v>0.52500000000000002</v>
      </c>
      <c r="J44" s="120">
        <v>0</v>
      </c>
      <c r="K44" s="120">
        <f>VLOOKUP(D44,'Existing Building EUI'!$B$7:$E$16,4,FALSE)</f>
        <v>204</v>
      </c>
      <c r="L44" s="120">
        <f>VLOOKUP(D44,'Existing Building EUI'!$B$7:$E$16,3,FALSE)*0.8</f>
        <v>119.2</v>
      </c>
      <c r="M44" s="158">
        <v>0</v>
      </c>
      <c r="N44" s="158">
        <v>0</v>
      </c>
      <c r="O44" s="159">
        <v>0</v>
      </c>
      <c r="P44" s="159">
        <v>0</v>
      </c>
      <c r="Q44" s="119">
        <v>0</v>
      </c>
      <c r="R44" s="119">
        <v>0</v>
      </c>
      <c r="S44" s="119">
        <v>0</v>
      </c>
      <c r="T44" s="119">
        <v>0</v>
      </c>
      <c r="U44" s="121">
        <f t="shared" si="12"/>
        <v>0</v>
      </c>
      <c r="V44" s="121">
        <f t="shared" si="13"/>
        <v>0</v>
      </c>
      <c r="W44" s="121">
        <f t="shared" si="14"/>
        <v>204</v>
      </c>
      <c r="X44" s="121">
        <f t="shared" si="15"/>
        <v>204</v>
      </c>
      <c r="Y44" s="121">
        <f t="shared" si="16"/>
        <v>119.2</v>
      </c>
      <c r="Z44" s="121">
        <f t="shared" si="17"/>
        <v>119.2</v>
      </c>
      <c r="AA44" s="159">
        <f t="shared" si="18"/>
        <v>0</v>
      </c>
      <c r="AB44" s="122">
        <f t="shared" si="19"/>
        <v>0</v>
      </c>
    </row>
    <row r="45" spans="1:28" s="123" customFormat="1" ht="42.75" x14ac:dyDescent="0.25">
      <c r="A45" s="161" t="s">
        <v>237</v>
      </c>
      <c r="B45" s="116" t="str">
        <f t="shared" si="11"/>
        <v>[D] Domestic Hot Water - Heat Pump and Electric Resistance Water HeatersLow Rise Office</v>
      </c>
      <c r="C45" s="117" t="s">
        <v>228</v>
      </c>
      <c r="D45" s="124" t="s">
        <v>117</v>
      </c>
      <c r="E45" s="119">
        <v>0.2</v>
      </c>
      <c r="F45" s="119">
        <v>0.3</v>
      </c>
      <c r="G45" s="119">
        <v>0.3</v>
      </c>
      <c r="H45" s="119">
        <v>0.75</v>
      </c>
      <c r="I45" s="119">
        <f t="shared" si="20"/>
        <v>0.52500000000000002</v>
      </c>
      <c r="J45" s="120">
        <v>0</v>
      </c>
      <c r="K45" s="120">
        <f>VLOOKUP(D45,'Existing Building EUI'!$B$7:$E$16,4,FALSE)</f>
        <v>204</v>
      </c>
      <c r="L45" s="120">
        <f>VLOOKUP(D45,'Existing Building EUI'!$B$7:$E$16,3,FALSE)*0.8</f>
        <v>119.2</v>
      </c>
      <c r="M45" s="158">
        <v>0</v>
      </c>
      <c r="N45" s="158">
        <v>0</v>
      </c>
      <c r="O45" s="159">
        <v>0</v>
      </c>
      <c r="P45" s="159">
        <v>0</v>
      </c>
      <c r="Q45" s="125">
        <v>0.02</v>
      </c>
      <c r="R45" s="119">
        <v>0.15</v>
      </c>
      <c r="S45" s="125">
        <f>Q45/-4</f>
        <v>-5.0000000000000001E-3</v>
      </c>
      <c r="T45" s="125">
        <f>R45/-4</f>
        <v>-3.7499999999999999E-2</v>
      </c>
      <c r="U45" s="121">
        <f t="shared" si="12"/>
        <v>0</v>
      </c>
      <c r="V45" s="121">
        <f t="shared" si="13"/>
        <v>0</v>
      </c>
      <c r="W45" s="121">
        <f t="shared" si="14"/>
        <v>204</v>
      </c>
      <c r="X45" s="121">
        <f t="shared" si="15"/>
        <v>204</v>
      </c>
      <c r="Y45" s="121">
        <f t="shared" si="16"/>
        <v>116.816</v>
      </c>
      <c r="Z45" s="121">
        <f t="shared" si="17"/>
        <v>101.32</v>
      </c>
      <c r="AA45" s="159">
        <f t="shared" si="18"/>
        <v>7.3762376237622457E-3</v>
      </c>
      <c r="AB45" s="122">
        <f t="shared" si="19"/>
        <v>5.5321782178217808E-2</v>
      </c>
    </row>
    <row r="46" spans="1:28" s="123" customFormat="1" ht="42.75" hidden="1" x14ac:dyDescent="0.25">
      <c r="A46" s="161" t="s">
        <v>237</v>
      </c>
      <c r="B46" s="116" t="str">
        <f t="shared" si="11"/>
        <v>[D] Heating &amp; Cooling Systems - Low Carbon District Energy SystemLow Rise Office</v>
      </c>
      <c r="C46" s="117" t="s">
        <v>279</v>
      </c>
      <c r="D46" s="124" t="s">
        <v>117</v>
      </c>
      <c r="E46" s="119">
        <v>0.2</v>
      </c>
      <c r="F46" s="119">
        <v>0.3</v>
      </c>
      <c r="G46" s="119">
        <v>0.3</v>
      </c>
      <c r="H46" s="119">
        <v>0.75</v>
      </c>
      <c r="I46" s="119">
        <f t="shared" si="20"/>
        <v>0.52500000000000002</v>
      </c>
      <c r="J46" s="120">
        <v>0</v>
      </c>
      <c r="K46" s="120">
        <f>VLOOKUP(D46,'Existing Building EUI'!$B$7:$E$16,4,FALSE)</f>
        <v>204</v>
      </c>
      <c r="L46" s="120">
        <f>VLOOKUP(D46,'Existing Building EUI'!$B$7:$E$16,3,FALSE)*0.8</f>
        <v>119.2</v>
      </c>
      <c r="M46" s="158">
        <v>0</v>
      </c>
      <c r="N46" s="158">
        <v>0</v>
      </c>
      <c r="O46" s="159">
        <v>0</v>
      </c>
      <c r="P46" s="159">
        <v>0</v>
      </c>
      <c r="Q46" s="119">
        <v>0</v>
      </c>
      <c r="R46" s="119">
        <v>0</v>
      </c>
      <c r="S46" s="119">
        <v>0</v>
      </c>
      <c r="T46" s="119">
        <v>0</v>
      </c>
      <c r="U46" s="121">
        <f t="shared" si="12"/>
        <v>0</v>
      </c>
      <c r="V46" s="121">
        <f t="shared" si="13"/>
        <v>0</v>
      </c>
      <c r="W46" s="121">
        <f t="shared" si="14"/>
        <v>204</v>
      </c>
      <c r="X46" s="121">
        <f t="shared" si="15"/>
        <v>204</v>
      </c>
      <c r="Y46" s="121">
        <f t="shared" si="16"/>
        <v>119.2</v>
      </c>
      <c r="Z46" s="121">
        <f t="shared" si="17"/>
        <v>119.2</v>
      </c>
      <c r="AA46" s="159">
        <f t="shared" si="18"/>
        <v>0</v>
      </c>
      <c r="AB46" s="122">
        <f t="shared" si="19"/>
        <v>0</v>
      </c>
    </row>
    <row r="47" spans="1:28" s="123" customFormat="1" ht="71.25" hidden="1" x14ac:dyDescent="0.25">
      <c r="A47" s="161" t="s">
        <v>237</v>
      </c>
      <c r="B47" s="116" t="str">
        <f t="shared" si="11"/>
        <v>[D] Heating, Cooling, Ventilation Systems - Rooftop Air Source Heat Pump with Electric BaseboardLow Rise Office</v>
      </c>
      <c r="C47" s="117" t="s">
        <v>235</v>
      </c>
      <c r="D47" s="124" t="s">
        <v>117</v>
      </c>
      <c r="E47" s="119">
        <v>0.2</v>
      </c>
      <c r="F47" s="119">
        <v>0.3</v>
      </c>
      <c r="G47" s="119">
        <v>0.3</v>
      </c>
      <c r="H47" s="119">
        <v>0.75</v>
      </c>
      <c r="I47" s="119">
        <f t="shared" si="20"/>
        <v>0.52500000000000002</v>
      </c>
      <c r="J47" s="120">
        <v>0</v>
      </c>
      <c r="K47" s="120">
        <f>VLOOKUP(D47,'Existing Building EUI'!$B$7:$E$16,4,FALSE)</f>
        <v>204</v>
      </c>
      <c r="L47" s="120">
        <f>VLOOKUP(D47,'Existing Building EUI'!$B$7:$E$16,3,FALSE)*0.8</f>
        <v>119.2</v>
      </c>
      <c r="M47" s="158">
        <v>0</v>
      </c>
      <c r="N47" s="158">
        <v>0</v>
      </c>
      <c r="O47" s="159">
        <v>0</v>
      </c>
      <c r="P47" s="159">
        <v>0</v>
      </c>
      <c r="Q47" s="125">
        <v>0.85</v>
      </c>
      <c r="R47" s="119">
        <v>0.97</v>
      </c>
      <c r="S47" s="125">
        <f>Q47/-2</f>
        <v>-0.42499999999999999</v>
      </c>
      <c r="T47" s="125">
        <f>R47/-2</f>
        <v>-0.48499999999999999</v>
      </c>
      <c r="U47" s="121">
        <f t="shared" si="12"/>
        <v>0</v>
      </c>
      <c r="V47" s="121">
        <f t="shared" si="13"/>
        <v>0</v>
      </c>
      <c r="W47" s="121">
        <f t="shared" si="14"/>
        <v>204</v>
      </c>
      <c r="X47" s="121">
        <f t="shared" si="15"/>
        <v>204</v>
      </c>
      <c r="Y47" s="121">
        <f t="shared" si="16"/>
        <v>17.880000000000003</v>
      </c>
      <c r="Z47" s="121">
        <f t="shared" si="17"/>
        <v>3.5760000000000032</v>
      </c>
      <c r="AA47" s="159">
        <f t="shared" si="18"/>
        <v>0.31349009900990099</v>
      </c>
      <c r="AB47" s="122">
        <f t="shared" si="19"/>
        <v>0.35774752475247523</v>
      </c>
    </row>
    <row r="48" spans="1:28" s="123" customFormat="1" ht="28.5" hidden="1" x14ac:dyDescent="0.25">
      <c r="A48" s="161" t="s">
        <v>237</v>
      </c>
      <c r="B48" s="116" t="str">
        <f t="shared" si="11"/>
        <v>[D] Lighting and Lighting ControlsLow Rise Office</v>
      </c>
      <c r="C48" s="117" t="s">
        <v>253</v>
      </c>
      <c r="D48" s="118" t="s">
        <v>117</v>
      </c>
      <c r="E48" s="119">
        <v>0.01</v>
      </c>
      <c r="F48" s="119">
        <v>0.1</v>
      </c>
      <c r="G48" s="119">
        <v>0.01</v>
      </c>
      <c r="H48" s="119">
        <v>0.1</v>
      </c>
      <c r="I48" s="119">
        <f t="shared" si="20"/>
        <v>5.5E-2</v>
      </c>
      <c r="J48" s="120">
        <v>0</v>
      </c>
      <c r="K48" s="120">
        <f>VLOOKUP(D48,'Existing Building EUI'!$B$7:$E$16,4,FALSE)</f>
        <v>204</v>
      </c>
      <c r="L48" s="120">
        <f>VLOOKUP(D48,'Existing Building EUI'!$B$7:$E$16,3,FALSE)*0.8</f>
        <v>119.2</v>
      </c>
      <c r="M48" s="158">
        <v>0</v>
      </c>
      <c r="N48" s="119">
        <v>0</v>
      </c>
      <c r="O48" s="159">
        <v>0.01</v>
      </c>
      <c r="P48" s="159">
        <v>0.18</v>
      </c>
      <c r="Q48" s="119">
        <v>0</v>
      </c>
      <c r="R48" s="119">
        <v>0</v>
      </c>
      <c r="S48" s="119">
        <v>0</v>
      </c>
      <c r="T48" s="119">
        <v>0</v>
      </c>
      <c r="U48" s="121">
        <f t="shared" si="12"/>
        <v>0</v>
      </c>
      <c r="V48" s="121">
        <f t="shared" si="13"/>
        <v>0</v>
      </c>
      <c r="W48" s="121">
        <f t="shared" si="14"/>
        <v>201.96</v>
      </c>
      <c r="X48" s="121">
        <f t="shared" si="15"/>
        <v>167.28</v>
      </c>
      <c r="Y48" s="121">
        <f t="shared" si="16"/>
        <v>119.2</v>
      </c>
      <c r="Z48" s="121">
        <f t="shared" si="17"/>
        <v>119.2</v>
      </c>
      <c r="AA48" s="159">
        <f t="shared" si="18"/>
        <v>6.3118811881186995E-3</v>
      </c>
      <c r="AB48" s="122">
        <f t="shared" si="19"/>
        <v>0.11361386138613852</v>
      </c>
    </row>
    <row r="49" spans="1:28" s="123" customFormat="1" ht="28.5" hidden="1" x14ac:dyDescent="0.25">
      <c r="A49" s="161" t="s">
        <v>237</v>
      </c>
      <c r="B49" s="116" t="str">
        <f t="shared" si="11"/>
        <v>[D] Renewables - Solar PVLow Rise Office</v>
      </c>
      <c r="C49" s="117" t="s">
        <v>249</v>
      </c>
      <c r="D49" s="118" t="s">
        <v>117</v>
      </c>
      <c r="E49" s="119">
        <v>0.01</v>
      </c>
      <c r="F49" s="119">
        <v>0.1</v>
      </c>
      <c r="G49" s="119">
        <v>0.01</v>
      </c>
      <c r="H49" s="119">
        <v>0.05</v>
      </c>
      <c r="I49" s="119">
        <f t="shared" si="20"/>
        <v>3.0000000000000002E-2</v>
      </c>
      <c r="J49" s="120">
        <v>0</v>
      </c>
      <c r="K49" s="120">
        <f>VLOOKUP(D49,'Existing Building EUI'!$B$7:$E$16,4,FALSE)</f>
        <v>204</v>
      </c>
      <c r="L49" s="120">
        <f>VLOOKUP(D49,'Existing Building EUI'!$B$7:$E$16,3,FALSE)*0.8</f>
        <v>119.2</v>
      </c>
      <c r="M49" s="158">
        <v>0</v>
      </c>
      <c r="N49" s="119">
        <v>0</v>
      </c>
      <c r="O49" s="159">
        <v>0.02</v>
      </c>
      <c r="P49" s="159">
        <v>0.17</v>
      </c>
      <c r="Q49" s="119">
        <v>0</v>
      </c>
      <c r="R49" s="119">
        <v>0</v>
      </c>
      <c r="S49" s="119">
        <v>0</v>
      </c>
      <c r="T49" s="119">
        <v>0</v>
      </c>
      <c r="U49" s="121">
        <f t="shared" si="12"/>
        <v>0</v>
      </c>
      <c r="V49" s="121">
        <f t="shared" si="13"/>
        <v>0</v>
      </c>
      <c r="W49" s="121">
        <f t="shared" si="14"/>
        <v>199.92</v>
      </c>
      <c r="X49" s="121">
        <f t="shared" si="15"/>
        <v>169.32</v>
      </c>
      <c r="Y49" s="121">
        <f t="shared" si="16"/>
        <v>119.2</v>
      </c>
      <c r="Z49" s="121">
        <f t="shared" si="17"/>
        <v>119.2</v>
      </c>
      <c r="AA49" s="159">
        <f t="shared" si="18"/>
        <v>1.2623762376237574E-2</v>
      </c>
      <c r="AB49" s="122">
        <f t="shared" si="19"/>
        <v>0.10730198019801983</v>
      </c>
    </row>
    <row r="50" spans="1:28" s="123" customFormat="1" ht="28.5" hidden="1" x14ac:dyDescent="0.25">
      <c r="A50" s="161" t="s">
        <v>237</v>
      </c>
      <c r="B50" s="116" t="str">
        <f t="shared" si="11"/>
        <v>[D] Renewables - Solar ThermalLow Rise Office</v>
      </c>
      <c r="C50" s="117" t="s">
        <v>242</v>
      </c>
      <c r="D50" s="118" t="s">
        <v>117</v>
      </c>
      <c r="E50" s="119">
        <v>0.01</v>
      </c>
      <c r="F50" s="119">
        <v>0.1</v>
      </c>
      <c r="G50" s="119">
        <v>0.01</v>
      </c>
      <c r="H50" s="119">
        <v>0.05</v>
      </c>
      <c r="I50" s="119">
        <f t="shared" si="20"/>
        <v>3.0000000000000002E-2</v>
      </c>
      <c r="J50" s="120">
        <v>0</v>
      </c>
      <c r="K50" s="120">
        <f>VLOOKUP(D50,'Existing Building EUI'!$B$7:$E$16,4,FALSE)</f>
        <v>204</v>
      </c>
      <c r="L50" s="120">
        <f>VLOOKUP(D50,'Existing Building EUI'!$B$7:$E$16,3,FALSE)*0.8</f>
        <v>119.2</v>
      </c>
      <c r="M50" s="158">
        <v>0</v>
      </c>
      <c r="N50" s="119">
        <v>0</v>
      </c>
      <c r="O50" s="159">
        <v>0</v>
      </c>
      <c r="P50" s="159">
        <v>0</v>
      </c>
      <c r="Q50" s="119">
        <v>0.02</v>
      </c>
      <c r="R50" s="119">
        <v>0.1</v>
      </c>
      <c r="S50" s="119">
        <v>0</v>
      </c>
      <c r="T50" s="119">
        <v>0</v>
      </c>
      <c r="U50" s="121">
        <f t="shared" si="12"/>
        <v>0</v>
      </c>
      <c r="V50" s="121">
        <f t="shared" si="13"/>
        <v>0</v>
      </c>
      <c r="W50" s="121">
        <f t="shared" si="14"/>
        <v>204</v>
      </c>
      <c r="X50" s="121">
        <f t="shared" si="15"/>
        <v>204</v>
      </c>
      <c r="Y50" s="121">
        <f t="shared" si="16"/>
        <v>116.816</v>
      </c>
      <c r="Z50" s="121">
        <f t="shared" si="17"/>
        <v>107.28</v>
      </c>
      <c r="AA50" s="159">
        <f t="shared" si="18"/>
        <v>7.3762376237622457E-3</v>
      </c>
      <c r="AB50" s="122">
        <f t="shared" si="19"/>
        <v>3.6881188118811935E-2</v>
      </c>
    </row>
    <row r="51" spans="1:28" s="123" customFormat="1" ht="42.75" hidden="1" x14ac:dyDescent="0.25">
      <c r="A51" s="161" t="s">
        <v>237</v>
      </c>
      <c r="B51" s="116" t="str">
        <f t="shared" si="11"/>
        <v>[D] Appliance Upgrades &amp; Lighting and Lighting ControlsLow Rise Rental Apartment</v>
      </c>
      <c r="C51" s="117" t="s">
        <v>254</v>
      </c>
      <c r="D51" s="118" t="s">
        <v>125</v>
      </c>
      <c r="E51" s="119">
        <v>0.11</v>
      </c>
      <c r="F51" s="119">
        <v>0.2</v>
      </c>
      <c r="G51" s="119">
        <v>0.01</v>
      </c>
      <c r="H51" s="119">
        <v>0.1</v>
      </c>
      <c r="I51" s="119">
        <f t="shared" si="20"/>
        <v>5.5E-2</v>
      </c>
      <c r="J51" s="120">
        <v>0</v>
      </c>
      <c r="K51" s="120">
        <f>VLOOKUP(D51,'Existing Building EUI'!$B$7:$E$16,4,FALSE)</f>
        <v>107</v>
      </c>
      <c r="L51" s="120">
        <f>VLOOKUP(D51,'Existing Building EUI'!$B$7:$E$16,3,FALSE)*0.8</f>
        <v>187.20000000000002</v>
      </c>
      <c r="M51" s="158">
        <v>0</v>
      </c>
      <c r="N51" s="119">
        <v>0</v>
      </c>
      <c r="O51" s="159">
        <v>0.35</v>
      </c>
      <c r="P51" s="159">
        <v>0.5</v>
      </c>
      <c r="Q51" s="119">
        <v>0</v>
      </c>
      <c r="R51" s="119">
        <v>0</v>
      </c>
      <c r="S51" s="119">
        <v>0</v>
      </c>
      <c r="T51" s="119">
        <v>0</v>
      </c>
      <c r="U51" s="121">
        <f t="shared" si="12"/>
        <v>0</v>
      </c>
      <c r="V51" s="121">
        <f t="shared" si="13"/>
        <v>0</v>
      </c>
      <c r="W51" s="121">
        <f t="shared" si="14"/>
        <v>69.550000000000011</v>
      </c>
      <c r="X51" s="121">
        <f t="shared" si="15"/>
        <v>53.5</v>
      </c>
      <c r="Y51" s="121">
        <f t="shared" si="16"/>
        <v>187.20000000000002</v>
      </c>
      <c r="Z51" s="121">
        <f t="shared" si="17"/>
        <v>187.20000000000002</v>
      </c>
      <c r="AA51" s="159">
        <f t="shared" si="18"/>
        <v>0.12729435757987778</v>
      </c>
      <c r="AB51" s="122">
        <f t="shared" si="19"/>
        <v>0.18184908225696811</v>
      </c>
    </row>
    <row r="52" spans="1:28" s="123" customFormat="1" ht="42.75" hidden="1" x14ac:dyDescent="0.25">
      <c r="A52" s="161" t="s">
        <v>237</v>
      </c>
      <c r="B52" s="116" t="str">
        <f t="shared" si="11"/>
        <v>[D] Building Envelope - High Performance Glazing with Enhanced Air SealingLow Rise Rental Apartment</v>
      </c>
      <c r="C52" s="117" t="s">
        <v>239</v>
      </c>
      <c r="D52" s="118" t="s">
        <v>125</v>
      </c>
      <c r="E52" s="119">
        <v>0.01</v>
      </c>
      <c r="F52" s="119">
        <v>0.1</v>
      </c>
      <c r="G52" s="119">
        <v>0.01</v>
      </c>
      <c r="H52" s="119">
        <v>0.1</v>
      </c>
      <c r="I52" s="119">
        <v>5.5E-2</v>
      </c>
      <c r="J52" s="120">
        <v>0</v>
      </c>
      <c r="K52" s="120">
        <f>VLOOKUP(D52,'Existing Building EUI'!$B$7:$E$16,4,FALSE)</f>
        <v>107</v>
      </c>
      <c r="L52" s="120">
        <f>VLOOKUP(D52,'Existing Building EUI'!$B$7:$E$16,3,FALSE)*0.8</f>
        <v>187.20000000000002</v>
      </c>
      <c r="M52" s="158">
        <v>0</v>
      </c>
      <c r="N52" s="158">
        <v>0</v>
      </c>
      <c r="O52" s="159">
        <v>0.01</v>
      </c>
      <c r="P52" s="159">
        <v>0.08</v>
      </c>
      <c r="Q52" s="158">
        <v>0.01</v>
      </c>
      <c r="R52" s="119">
        <v>0.11</v>
      </c>
      <c r="S52" s="119">
        <v>0</v>
      </c>
      <c r="T52" s="119">
        <v>0</v>
      </c>
      <c r="U52" s="121">
        <f t="shared" si="12"/>
        <v>0</v>
      </c>
      <c r="V52" s="121">
        <f t="shared" si="13"/>
        <v>0</v>
      </c>
      <c r="W52" s="121">
        <f t="shared" si="14"/>
        <v>105.93</v>
      </c>
      <c r="X52" s="121">
        <f t="shared" si="15"/>
        <v>98.44</v>
      </c>
      <c r="Y52" s="121">
        <f t="shared" si="16"/>
        <v>185.328</v>
      </c>
      <c r="Z52" s="121">
        <f t="shared" si="17"/>
        <v>166.608</v>
      </c>
      <c r="AA52" s="159">
        <f t="shared" si="18"/>
        <v>1.0000000000000023E-2</v>
      </c>
      <c r="AB52" s="122">
        <f t="shared" si="19"/>
        <v>9.9089055064582043E-2</v>
      </c>
    </row>
    <row r="53" spans="1:28" s="123" customFormat="1" ht="57" hidden="1" x14ac:dyDescent="0.25">
      <c r="A53" s="161" t="s">
        <v>237</v>
      </c>
      <c r="B53" s="116" t="str">
        <f t="shared" si="11"/>
        <v>[D] Building Envelope - High Performance Glazing, Wall Insulation, &amp; Roof InsulationLow Rise Rental Apartment</v>
      </c>
      <c r="C53" s="117" t="s">
        <v>240</v>
      </c>
      <c r="D53" s="118" t="s">
        <v>125</v>
      </c>
      <c r="E53" s="119">
        <v>0.01</v>
      </c>
      <c r="F53" s="119">
        <v>0.1</v>
      </c>
      <c r="G53" s="119">
        <v>0.01</v>
      </c>
      <c r="H53" s="119">
        <v>0.1</v>
      </c>
      <c r="I53" s="119">
        <v>5.5E-2</v>
      </c>
      <c r="J53" s="120">
        <v>0</v>
      </c>
      <c r="K53" s="120">
        <f>VLOOKUP(D53,'Existing Building EUI'!$B$7:$E$16,4,FALSE)</f>
        <v>107</v>
      </c>
      <c r="L53" s="120">
        <f>VLOOKUP(D53,'Existing Building EUI'!$B$7:$E$16,3,FALSE)*0.8</f>
        <v>187.20000000000002</v>
      </c>
      <c r="M53" s="158">
        <v>0</v>
      </c>
      <c r="N53" s="158">
        <v>0</v>
      </c>
      <c r="O53" s="159">
        <v>0.08</v>
      </c>
      <c r="P53" s="159">
        <v>0.15</v>
      </c>
      <c r="Q53" s="158">
        <v>0.12</v>
      </c>
      <c r="R53" s="119">
        <v>0.2</v>
      </c>
      <c r="S53" s="119">
        <v>0</v>
      </c>
      <c r="T53" s="119">
        <v>0</v>
      </c>
      <c r="U53" s="121">
        <f t="shared" si="12"/>
        <v>0</v>
      </c>
      <c r="V53" s="121">
        <f t="shared" si="13"/>
        <v>0</v>
      </c>
      <c r="W53" s="121">
        <f t="shared" si="14"/>
        <v>98.44</v>
      </c>
      <c r="X53" s="121">
        <f t="shared" si="15"/>
        <v>90.95</v>
      </c>
      <c r="Y53" s="121">
        <f t="shared" si="16"/>
        <v>164.73600000000002</v>
      </c>
      <c r="Z53" s="121">
        <f t="shared" si="17"/>
        <v>149.76000000000002</v>
      </c>
      <c r="AA53" s="159">
        <f t="shared" si="18"/>
        <v>0.10545207341944254</v>
      </c>
      <c r="AB53" s="122">
        <f t="shared" si="19"/>
        <v>0.18181509177430319</v>
      </c>
    </row>
    <row r="54" spans="1:28" s="123" customFormat="1" ht="42.75" x14ac:dyDescent="0.25">
      <c r="A54" s="161" t="s">
        <v>237</v>
      </c>
      <c r="B54" s="116" t="str">
        <f t="shared" si="11"/>
        <v>[D] Domestic Hot Water - Low Carbon District Energy SystemLow Rise Rental Apartment</v>
      </c>
      <c r="C54" s="117" t="s">
        <v>278</v>
      </c>
      <c r="D54" s="124" t="s">
        <v>125</v>
      </c>
      <c r="E54" s="119">
        <v>0.2</v>
      </c>
      <c r="F54" s="119">
        <v>0.3</v>
      </c>
      <c r="G54" s="119">
        <v>0.3</v>
      </c>
      <c r="H54" s="119">
        <v>0.75</v>
      </c>
      <c r="I54" s="119">
        <f t="shared" ref="I54:I62" si="21">AVERAGE(G54:H54)</f>
        <v>0.52500000000000002</v>
      </c>
      <c r="J54" s="120">
        <v>0</v>
      </c>
      <c r="K54" s="120">
        <f>VLOOKUP(D54,'Existing Building EUI'!$B$7:$E$16,4,FALSE)</f>
        <v>107</v>
      </c>
      <c r="L54" s="120">
        <f>VLOOKUP(D54,'Existing Building EUI'!$B$7:$E$16,3,FALSE)*0.8</f>
        <v>187.20000000000002</v>
      </c>
      <c r="M54" s="158">
        <v>0</v>
      </c>
      <c r="N54" s="158">
        <v>0</v>
      </c>
      <c r="O54" s="159">
        <v>0</v>
      </c>
      <c r="P54" s="159">
        <v>0</v>
      </c>
      <c r="Q54" s="119">
        <v>0</v>
      </c>
      <c r="R54" s="119">
        <v>0</v>
      </c>
      <c r="S54" s="119">
        <v>0</v>
      </c>
      <c r="T54" s="119">
        <v>0</v>
      </c>
      <c r="U54" s="121">
        <f t="shared" si="12"/>
        <v>0</v>
      </c>
      <c r="V54" s="121">
        <f t="shared" si="13"/>
        <v>0</v>
      </c>
      <c r="W54" s="121">
        <f t="shared" si="14"/>
        <v>107</v>
      </c>
      <c r="X54" s="121">
        <f t="shared" si="15"/>
        <v>107</v>
      </c>
      <c r="Y54" s="121">
        <f t="shared" si="16"/>
        <v>187.20000000000002</v>
      </c>
      <c r="Z54" s="121">
        <f t="shared" si="17"/>
        <v>187.20000000000002</v>
      </c>
      <c r="AA54" s="159">
        <f t="shared" si="18"/>
        <v>0</v>
      </c>
      <c r="AB54" s="122">
        <f t="shared" si="19"/>
        <v>0</v>
      </c>
    </row>
    <row r="55" spans="1:28" s="123" customFormat="1" ht="42.75" x14ac:dyDescent="0.25">
      <c r="A55" s="161" t="s">
        <v>237</v>
      </c>
      <c r="B55" s="116" t="str">
        <f t="shared" si="11"/>
        <v>[D] Domestic Hot Water - Heat Pump and Electric Resistance Water HeatersLow Rise Rental Apartment</v>
      </c>
      <c r="C55" s="117" t="s">
        <v>228</v>
      </c>
      <c r="D55" s="124" t="s">
        <v>125</v>
      </c>
      <c r="E55" s="119">
        <v>0.2</v>
      </c>
      <c r="F55" s="119">
        <v>0.3</v>
      </c>
      <c r="G55" s="119">
        <v>0.3</v>
      </c>
      <c r="H55" s="119">
        <v>0.75</v>
      </c>
      <c r="I55" s="119">
        <f t="shared" si="21"/>
        <v>0.52500000000000002</v>
      </c>
      <c r="J55" s="120">
        <v>0</v>
      </c>
      <c r="K55" s="120">
        <f>VLOOKUP(D55,'Existing Building EUI'!$B$7:$E$16,4,FALSE)</f>
        <v>107</v>
      </c>
      <c r="L55" s="120">
        <f>VLOOKUP(D55,'Existing Building EUI'!$B$7:$E$16,3,FALSE)*0.8</f>
        <v>187.20000000000002</v>
      </c>
      <c r="M55" s="158">
        <v>0</v>
      </c>
      <c r="N55" s="158">
        <v>0</v>
      </c>
      <c r="O55" s="159">
        <v>0</v>
      </c>
      <c r="P55" s="159">
        <v>0</v>
      </c>
      <c r="Q55" s="125">
        <v>0.22</v>
      </c>
      <c r="R55" s="119">
        <v>0.3</v>
      </c>
      <c r="S55" s="125">
        <f>Q55/-4</f>
        <v>-5.5E-2</v>
      </c>
      <c r="T55" s="125">
        <f>R55/-4</f>
        <v>-7.4999999999999997E-2</v>
      </c>
      <c r="U55" s="121">
        <f t="shared" si="12"/>
        <v>0</v>
      </c>
      <c r="V55" s="121">
        <f t="shared" si="13"/>
        <v>0</v>
      </c>
      <c r="W55" s="121">
        <f t="shared" si="14"/>
        <v>107</v>
      </c>
      <c r="X55" s="121">
        <f t="shared" si="15"/>
        <v>107</v>
      </c>
      <c r="Y55" s="121">
        <f t="shared" si="16"/>
        <v>146.01600000000002</v>
      </c>
      <c r="Z55" s="121">
        <f t="shared" si="17"/>
        <v>131.04</v>
      </c>
      <c r="AA55" s="159">
        <f t="shared" si="18"/>
        <v>0.13998640380693411</v>
      </c>
      <c r="AB55" s="122">
        <f t="shared" si="19"/>
        <v>0.19089055064581933</v>
      </c>
    </row>
    <row r="56" spans="1:28" s="123" customFormat="1" ht="57" hidden="1" x14ac:dyDescent="0.25">
      <c r="A56" s="161" t="s">
        <v>237</v>
      </c>
      <c r="B56" s="116" t="str">
        <f t="shared" si="11"/>
        <v>[D] Gas Appliances - Electric and Induction Ranges &amp; Heat Pump Electric DryersLow Rise Rental Apartment</v>
      </c>
      <c r="C56" s="117" t="s">
        <v>244</v>
      </c>
      <c r="D56" s="118" t="s">
        <v>125</v>
      </c>
      <c r="E56" s="119">
        <v>0.01</v>
      </c>
      <c r="F56" s="119">
        <v>0.1</v>
      </c>
      <c r="G56" s="119">
        <v>0.05</v>
      </c>
      <c r="H56" s="119">
        <v>0.2</v>
      </c>
      <c r="I56" s="119">
        <f t="shared" si="21"/>
        <v>0.125</v>
      </c>
      <c r="J56" s="120">
        <v>0</v>
      </c>
      <c r="K56" s="120">
        <f>VLOOKUP(D56,'Existing Building EUI'!$B$7:$E$16,4,FALSE)</f>
        <v>107</v>
      </c>
      <c r="L56" s="120">
        <f>VLOOKUP(D56,'Existing Building EUI'!$B$7:$E$16,3,FALSE)*0.8</f>
        <v>187.20000000000002</v>
      </c>
      <c r="M56" s="158">
        <v>1</v>
      </c>
      <c r="N56" s="119">
        <v>1</v>
      </c>
      <c r="O56" s="159">
        <v>0</v>
      </c>
      <c r="P56" s="159">
        <v>0</v>
      </c>
      <c r="Q56" s="119">
        <v>0</v>
      </c>
      <c r="R56" s="119">
        <v>0</v>
      </c>
      <c r="S56" s="126">
        <f>(M56*0.02)/-2</f>
        <v>-0.01</v>
      </c>
      <c r="T56" s="126">
        <f>(N56*0.15)/-2</f>
        <v>-7.4999999999999997E-2</v>
      </c>
      <c r="U56" s="121">
        <f t="shared" si="12"/>
        <v>0</v>
      </c>
      <c r="V56" s="121">
        <f t="shared" si="13"/>
        <v>0</v>
      </c>
      <c r="W56" s="121">
        <f t="shared" si="14"/>
        <v>107</v>
      </c>
      <c r="X56" s="121">
        <f t="shared" si="15"/>
        <v>107</v>
      </c>
      <c r="Y56" s="121">
        <f t="shared" si="16"/>
        <v>187.20000000000002</v>
      </c>
      <c r="Z56" s="121">
        <f t="shared" si="17"/>
        <v>187.20000000000002</v>
      </c>
      <c r="AA56" s="159">
        <f t="shared" si="18"/>
        <v>0</v>
      </c>
      <c r="AB56" s="122">
        <f t="shared" si="19"/>
        <v>0</v>
      </c>
    </row>
    <row r="57" spans="1:28" s="123" customFormat="1" ht="57" hidden="1" x14ac:dyDescent="0.25">
      <c r="A57" s="161" t="s">
        <v>237</v>
      </c>
      <c r="B57" s="116" t="str">
        <f t="shared" si="11"/>
        <v>[D] Heating, Cooling, Ventilation Systems - Air Source Heat Pumps + Energy Recovery VentilatorsLow Rise Rental Apartment</v>
      </c>
      <c r="C57" s="117" t="s">
        <v>231</v>
      </c>
      <c r="D57" s="124" t="s">
        <v>125</v>
      </c>
      <c r="E57" s="119">
        <v>0.2</v>
      </c>
      <c r="F57" s="119">
        <v>0.3</v>
      </c>
      <c r="G57" s="119">
        <v>0.3</v>
      </c>
      <c r="H57" s="119">
        <v>0.75</v>
      </c>
      <c r="I57" s="119">
        <f t="shared" si="21"/>
        <v>0.52500000000000002</v>
      </c>
      <c r="J57" s="120">
        <v>0</v>
      </c>
      <c r="K57" s="120">
        <f>VLOOKUP(D57,'Existing Building EUI'!$B$7:$E$16,4,FALSE)</f>
        <v>107</v>
      </c>
      <c r="L57" s="120">
        <f>VLOOKUP(D57,'Existing Building EUI'!$B$7:$E$16,3,FALSE)*0.8</f>
        <v>187.20000000000002</v>
      </c>
      <c r="M57" s="158">
        <v>0</v>
      </c>
      <c r="N57" s="158">
        <v>0</v>
      </c>
      <c r="O57" s="159">
        <v>0</v>
      </c>
      <c r="P57" s="159">
        <v>0</v>
      </c>
      <c r="Q57" s="125">
        <v>0.7</v>
      </c>
      <c r="R57" s="119">
        <v>0.8</v>
      </c>
      <c r="S57" s="125">
        <f>Q57/-2</f>
        <v>-0.35</v>
      </c>
      <c r="T57" s="125">
        <f>R57/-2</f>
        <v>-0.4</v>
      </c>
      <c r="U57" s="121">
        <f t="shared" si="12"/>
        <v>0</v>
      </c>
      <c r="V57" s="121">
        <f t="shared" si="13"/>
        <v>0</v>
      </c>
      <c r="W57" s="121">
        <f t="shared" si="14"/>
        <v>107</v>
      </c>
      <c r="X57" s="121">
        <f t="shared" si="15"/>
        <v>107</v>
      </c>
      <c r="Y57" s="121">
        <f t="shared" si="16"/>
        <v>56.160000000000011</v>
      </c>
      <c r="Z57" s="121">
        <f t="shared" si="17"/>
        <v>37.44</v>
      </c>
      <c r="AA57" s="159">
        <f t="shared" si="18"/>
        <v>0.44541128484024473</v>
      </c>
      <c r="AB57" s="122">
        <f t="shared" si="19"/>
        <v>0.50904146838885123</v>
      </c>
    </row>
    <row r="58" spans="1:28" s="123" customFormat="1" ht="71.25" hidden="1" x14ac:dyDescent="0.25">
      <c r="A58" s="161" t="s">
        <v>237</v>
      </c>
      <c r="B58" s="116" t="str">
        <f t="shared" si="11"/>
        <v>[D] Heating, Cooling, Ventilation Systems - Low Carbon District Energy System + Energy Recovery VentilatorsLow Rise Rental Apartment</v>
      </c>
      <c r="C58" s="117" t="s">
        <v>280</v>
      </c>
      <c r="D58" s="124" t="s">
        <v>125</v>
      </c>
      <c r="E58" s="119">
        <v>0.2</v>
      </c>
      <c r="F58" s="119">
        <v>0.3</v>
      </c>
      <c r="G58" s="119">
        <v>0.3</v>
      </c>
      <c r="H58" s="119">
        <v>0.75</v>
      </c>
      <c r="I58" s="119">
        <f t="shared" si="21"/>
        <v>0.52500000000000002</v>
      </c>
      <c r="J58" s="120">
        <v>0</v>
      </c>
      <c r="K58" s="120">
        <f>VLOOKUP(D58,'Existing Building EUI'!$B$7:$E$16,4,FALSE)</f>
        <v>107</v>
      </c>
      <c r="L58" s="120">
        <f>VLOOKUP(D58,'Existing Building EUI'!$B$7:$E$16,3,FALSE)*0.8</f>
        <v>187.20000000000002</v>
      </c>
      <c r="M58" s="158">
        <v>0</v>
      </c>
      <c r="N58" s="158">
        <v>0</v>
      </c>
      <c r="O58" s="159">
        <v>0</v>
      </c>
      <c r="P58" s="159">
        <v>0</v>
      </c>
      <c r="Q58" s="119">
        <v>0</v>
      </c>
      <c r="R58" s="119">
        <v>0</v>
      </c>
      <c r="S58" s="119">
        <v>0</v>
      </c>
      <c r="T58" s="119">
        <v>0</v>
      </c>
      <c r="U58" s="121">
        <f t="shared" si="12"/>
        <v>0</v>
      </c>
      <c r="V58" s="121">
        <f t="shared" si="13"/>
        <v>0</v>
      </c>
      <c r="W58" s="121">
        <f t="shared" si="14"/>
        <v>107</v>
      </c>
      <c r="X58" s="121">
        <f t="shared" si="15"/>
        <v>107</v>
      </c>
      <c r="Y58" s="121">
        <f t="shared" si="16"/>
        <v>187.20000000000002</v>
      </c>
      <c r="Z58" s="121">
        <f t="shared" si="17"/>
        <v>187.20000000000002</v>
      </c>
      <c r="AA58" s="159">
        <f t="shared" si="18"/>
        <v>0</v>
      </c>
      <c r="AB58" s="122">
        <f t="shared" si="19"/>
        <v>0</v>
      </c>
    </row>
    <row r="59" spans="1:28" s="123" customFormat="1" ht="57" hidden="1" x14ac:dyDescent="0.25">
      <c r="A59" s="161" t="s">
        <v>237</v>
      </c>
      <c r="B59" s="116" t="str">
        <f t="shared" si="11"/>
        <v>[D] Heating, Cooling, Ventilation Systems - Ground Source Heat Pumps + Energy Recovery VentilatorsLow Rise Rental Apartment</v>
      </c>
      <c r="C59" s="117" t="s">
        <v>232</v>
      </c>
      <c r="D59" s="124" t="s">
        <v>125</v>
      </c>
      <c r="E59" s="119">
        <v>0.2</v>
      </c>
      <c r="F59" s="119">
        <v>0.3</v>
      </c>
      <c r="G59" s="119">
        <v>0.3</v>
      </c>
      <c r="H59" s="119">
        <v>0.75</v>
      </c>
      <c r="I59" s="119">
        <f t="shared" si="21"/>
        <v>0.52500000000000002</v>
      </c>
      <c r="J59" s="120">
        <v>0</v>
      </c>
      <c r="K59" s="120">
        <f>VLOOKUP(D59,'Existing Building EUI'!$B$7:$E$16,4,FALSE)</f>
        <v>107</v>
      </c>
      <c r="L59" s="120">
        <f>VLOOKUP(D59,'Existing Building EUI'!$B$7:$E$16,3,FALSE)*0.8</f>
        <v>187.20000000000002</v>
      </c>
      <c r="M59" s="158">
        <v>0</v>
      </c>
      <c r="N59" s="158">
        <v>0</v>
      </c>
      <c r="O59" s="159">
        <v>0</v>
      </c>
      <c r="P59" s="159">
        <v>0</v>
      </c>
      <c r="Q59" s="125">
        <v>0.7</v>
      </c>
      <c r="R59" s="119">
        <v>0.8</v>
      </c>
      <c r="S59" s="126">
        <f>R59/-3</f>
        <v>-0.26666666666666666</v>
      </c>
      <c r="T59" s="126">
        <f>R59/-3</f>
        <v>-0.26666666666666666</v>
      </c>
      <c r="U59" s="121">
        <f t="shared" si="12"/>
        <v>0</v>
      </c>
      <c r="V59" s="121">
        <f t="shared" si="13"/>
        <v>0</v>
      </c>
      <c r="W59" s="121">
        <f t="shared" si="14"/>
        <v>107</v>
      </c>
      <c r="X59" s="121">
        <f t="shared" si="15"/>
        <v>107</v>
      </c>
      <c r="Y59" s="121">
        <f t="shared" si="16"/>
        <v>56.160000000000011</v>
      </c>
      <c r="Z59" s="121">
        <f t="shared" si="17"/>
        <v>37.44</v>
      </c>
      <c r="AA59" s="159">
        <f t="shared" si="18"/>
        <v>0.44541128484024473</v>
      </c>
      <c r="AB59" s="122">
        <f t="shared" si="19"/>
        <v>0.50904146838885123</v>
      </c>
    </row>
    <row r="60" spans="1:28" s="123" customFormat="1" ht="28.5" hidden="1" x14ac:dyDescent="0.25">
      <c r="A60" s="161" t="s">
        <v>237</v>
      </c>
      <c r="B60" s="116" t="str">
        <f t="shared" si="11"/>
        <v>[D] Renewables - Solar PVLow Rise Rental Apartment</v>
      </c>
      <c r="C60" s="117" t="s">
        <v>249</v>
      </c>
      <c r="D60" s="118" t="s">
        <v>125</v>
      </c>
      <c r="E60" s="119">
        <v>0.01</v>
      </c>
      <c r="F60" s="119">
        <v>0.1</v>
      </c>
      <c r="G60" s="119">
        <v>0.01</v>
      </c>
      <c r="H60" s="119">
        <v>0.05</v>
      </c>
      <c r="I60" s="119">
        <f t="shared" si="21"/>
        <v>3.0000000000000002E-2</v>
      </c>
      <c r="J60" s="120">
        <v>0</v>
      </c>
      <c r="K60" s="120">
        <f>VLOOKUP(D60,'Existing Building EUI'!$B$7:$E$16,4,FALSE)</f>
        <v>107</v>
      </c>
      <c r="L60" s="120">
        <f>VLOOKUP(D60,'Existing Building EUI'!$B$7:$E$16,3,FALSE)*0.8</f>
        <v>187.20000000000002</v>
      </c>
      <c r="M60" s="158">
        <v>0</v>
      </c>
      <c r="N60" s="119">
        <v>0</v>
      </c>
      <c r="O60" s="159">
        <v>0.02</v>
      </c>
      <c r="P60" s="159">
        <v>0.3</v>
      </c>
      <c r="Q60" s="119">
        <v>0</v>
      </c>
      <c r="R60" s="119">
        <v>0</v>
      </c>
      <c r="S60" s="119">
        <v>0</v>
      </c>
      <c r="T60" s="119">
        <v>0</v>
      </c>
      <c r="U60" s="121">
        <f t="shared" si="12"/>
        <v>0</v>
      </c>
      <c r="V60" s="121">
        <f t="shared" si="13"/>
        <v>0</v>
      </c>
      <c r="W60" s="121">
        <f t="shared" si="14"/>
        <v>104.86</v>
      </c>
      <c r="X60" s="121">
        <f t="shared" si="15"/>
        <v>74.900000000000006</v>
      </c>
      <c r="Y60" s="121">
        <f t="shared" si="16"/>
        <v>187.20000000000002</v>
      </c>
      <c r="Z60" s="121">
        <f t="shared" si="17"/>
        <v>187.20000000000002</v>
      </c>
      <c r="AA60" s="159">
        <f t="shared" si="18"/>
        <v>7.2739632902788674E-3</v>
      </c>
      <c r="AB60" s="122">
        <f t="shared" si="19"/>
        <v>0.10910944935418089</v>
      </c>
    </row>
    <row r="61" spans="1:28" s="123" customFormat="1" ht="28.5" hidden="1" x14ac:dyDescent="0.25">
      <c r="A61" s="161" t="s">
        <v>237</v>
      </c>
      <c r="B61" s="116" t="str">
        <f t="shared" si="11"/>
        <v>[D] Renewables - Solar ThermalLow Rise Rental Apartment</v>
      </c>
      <c r="C61" s="117" t="s">
        <v>242</v>
      </c>
      <c r="D61" s="118" t="s">
        <v>125</v>
      </c>
      <c r="E61" s="119">
        <v>0.01</v>
      </c>
      <c r="F61" s="119">
        <v>0.1</v>
      </c>
      <c r="G61" s="119">
        <v>0.01</v>
      </c>
      <c r="H61" s="119">
        <v>0.05</v>
      </c>
      <c r="I61" s="119">
        <f t="shared" si="21"/>
        <v>3.0000000000000002E-2</v>
      </c>
      <c r="J61" s="120">
        <v>0</v>
      </c>
      <c r="K61" s="120">
        <f>VLOOKUP(D61,'Existing Building EUI'!$B$7:$E$16,4,FALSE)</f>
        <v>107</v>
      </c>
      <c r="L61" s="120">
        <f>VLOOKUP(D61,'Existing Building EUI'!$B$7:$E$16,3,FALSE)*0.8</f>
        <v>187.20000000000002</v>
      </c>
      <c r="M61" s="158">
        <v>0</v>
      </c>
      <c r="N61" s="119">
        <v>0</v>
      </c>
      <c r="O61" s="159">
        <v>0</v>
      </c>
      <c r="P61" s="159">
        <v>0</v>
      </c>
      <c r="Q61" s="119">
        <v>0.02</v>
      </c>
      <c r="R61" s="119">
        <v>0.1</v>
      </c>
      <c r="S61" s="119">
        <v>0</v>
      </c>
      <c r="T61" s="119">
        <v>0</v>
      </c>
      <c r="U61" s="121">
        <f t="shared" si="12"/>
        <v>0</v>
      </c>
      <c r="V61" s="121">
        <f t="shared" si="13"/>
        <v>0</v>
      </c>
      <c r="W61" s="121">
        <f t="shared" si="14"/>
        <v>107</v>
      </c>
      <c r="X61" s="121">
        <f t="shared" si="15"/>
        <v>107</v>
      </c>
      <c r="Y61" s="121">
        <f t="shared" si="16"/>
        <v>183.45600000000002</v>
      </c>
      <c r="Z61" s="121">
        <f t="shared" si="17"/>
        <v>168.48000000000002</v>
      </c>
      <c r="AA61" s="159">
        <f t="shared" si="18"/>
        <v>1.2726036709721372E-2</v>
      </c>
      <c r="AB61" s="122">
        <f t="shared" si="19"/>
        <v>6.3630183548606473E-2</v>
      </c>
    </row>
    <row r="62" spans="1:28" s="123" customFormat="1" ht="15" hidden="1" x14ac:dyDescent="0.25">
      <c r="A62" s="161" t="s">
        <v>237</v>
      </c>
      <c r="B62" s="116" t="str">
        <f t="shared" si="11"/>
        <v>[D] Appliance UpgradesMid Rise Office</v>
      </c>
      <c r="C62" s="117" t="s">
        <v>252</v>
      </c>
      <c r="D62" s="118" t="s">
        <v>103</v>
      </c>
      <c r="E62" s="119">
        <v>0.01</v>
      </c>
      <c r="F62" s="119">
        <v>0.02</v>
      </c>
      <c r="G62" s="119">
        <v>0</v>
      </c>
      <c r="H62" s="119">
        <v>0.01</v>
      </c>
      <c r="I62" s="119">
        <f t="shared" si="21"/>
        <v>5.0000000000000001E-3</v>
      </c>
      <c r="J62" s="120">
        <v>0</v>
      </c>
      <c r="K62" s="120">
        <f>VLOOKUP(D62,'Existing Building EUI'!$B$7:$E$16,4,FALSE)</f>
        <v>219</v>
      </c>
      <c r="L62" s="120">
        <f>VLOOKUP(D62,'Existing Building EUI'!$B$7:$E$16,3,FALSE)*0.8</f>
        <v>216</v>
      </c>
      <c r="M62" s="158">
        <v>0</v>
      </c>
      <c r="N62" s="119">
        <v>0</v>
      </c>
      <c r="O62" s="159">
        <v>0.02</v>
      </c>
      <c r="P62" s="159">
        <v>0.04</v>
      </c>
      <c r="Q62" s="119">
        <v>0</v>
      </c>
      <c r="R62" s="119">
        <v>0</v>
      </c>
      <c r="S62" s="119">
        <v>0</v>
      </c>
      <c r="T62" s="119">
        <v>0</v>
      </c>
      <c r="U62" s="121">
        <f t="shared" si="12"/>
        <v>0</v>
      </c>
      <c r="V62" s="121">
        <f t="shared" si="13"/>
        <v>0</v>
      </c>
      <c r="W62" s="121">
        <f t="shared" si="14"/>
        <v>214.62</v>
      </c>
      <c r="X62" s="121">
        <f t="shared" si="15"/>
        <v>210.24</v>
      </c>
      <c r="Y62" s="121">
        <f t="shared" si="16"/>
        <v>216</v>
      </c>
      <c r="Z62" s="121">
        <f t="shared" si="17"/>
        <v>216</v>
      </c>
      <c r="AA62" s="159">
        <f t="shared" si="18"/>
        <v>1.0068965517241369E-2</v>
      </c>
      <c r="AB62" s="122">
        <f t="shared" si="19"/>
        <v>2.0137931034482737E-2</v>
      </c>
    </row>
    <row r="63" spans="1:28" s="123" customFormat="1" ht="42.75" hidden="1" x14ac:dyDescent="0.25">
      <c r="A63" s="161" t="s">
        <v>237</v>
      </c>
      <c r="B63" s="116" t="str">
        <f t="shared" si="11"/>
        <v>[D] Building Envelope - High Performance Glazing with Enhanced Air SealingMid Rise Office</v>
      </c>
      <c r="C63" s="117" t="s">
        <v>239</v>
      </c>
      <c r="D63" s="118" t="s">
        <v>103</v>
      </c>
      <c r="E63" s="119">
        <v>0.01</v>
      </c>
      <c r="F63" s="119">
        <v>0.1</v>
      </c>
      <c r="G63" s="119">
        <v>0.01</v>
      </c>
      <c r="H63" s="119">
        <v>0.1</v>
      </c>
      <c r="I63" s="119">
        <v>5.5E-2</v>
      </c>
      <c r="J63" s="120">
        <v>0</v>
      </c>
      <c r="K63" s="120">
        <f>VLOOKUP(D63,'Existing Building EUI'!$B$7:$E$16,4,FALSE)</f>
        <v>219</v>
      </c>
      <c r="L63" s="120">
        <f>VLOOKUP(D63,'Existing Building EUI'!$B$7:$E$16,3,FALSE)*0.8</f>
        <v>216</v>
      </c>
      <c r="M63" s="158">
        <v>0</v>
      </c>
      <c r="N63" s="158">
        <v>0</v>
      </c>
      <c r="O63" s="158">
        <v>0.01</v>
      </c>
      <c r="P63" s="159">
        <v>0.08</v>
      </c>
      <c r="Q63" s="158">
        <v>0.01</v>
      </c>
      <c r="R63" s="119">
        <v>0.11</v>
      </c>
      <c r="S63" s="119">
        <v>0</v>
      </c>
      <c r="T63" s="119">
        <v>0</v>
      </c>
      <c r="U63" s="121">
        <f t="shared" si="12"/>
        <v>0</v>
      </c>
      <c r="V63" s="121">
        <f t="shared" si="13"/>
        <v>0</v>
      </c>
      <c r="W63" s="121">
        <f t="shared" si="14"/>
        <v>216.81</v>
      </c>
      <c r="X63" s="121">
        <f t="shared" si="15"/>
        <v>201.48</v>
      </c>
      <c r="Y63" s="121">
        <f t="shared" si="16"/>
        <v>213.84</v>
      </c>
      <c r="Z63" s="121">
        <f t="shared" si="17"/>
        <v>192.24</v>
      </c>
      <c r="AA63" s="159">
        <f t="shared" si="18"/>
        <v>1.0000000000000052E-2</v>
      </c>
      <c r="AB63" s="122">
        <f t="shared" si="19"/>
        <v>9.489655172413787E-2</v>
      </c>
    </row>
    <row r="64" spans="1:28" s="123" customFormat="1" ht="42.75" hidden="1" x14ac:dyDescent="0.25">
      <c r="A64" s="161" t="s">
        <v>237</v>
      </c>
      <c r="B64" s="116" t="str">
        <f t="shared" si="11"/>
        <v>[D] Building Envelope - High Performance Glazing, Wall Insulation, &amp; Roof InsulationMid Rise Office</v>
      </c>
      <c r="C64" s="117" t="s">
        <v>240</v>
      </c>
      <c r="D64" s="118" t="s">
        <v>103</v>
      </c>
      <c r="E64" s="119">
        <v>0.01</v>
      </c>
      <c r="F64" s="119">
        <v>0.1</v>
      </c>
      <c r="G64" s="119">
        <v>0.01</v>
      </c>
      <c r="H64" s="119">
        <v>0.1</v>
      </c>
      <c r="I64" s="119">
        <v>5.5E-2</v>
      </c>
      <c r="J64" s="120">
        <v>0</v>
      </c>
      <c r="K64" s="120">
        <f>VLOOKUP(D64,'Existing Building EUI'!$B$7:$E$16,4,FALSE)</f>
        <v>219</v>
      </c>
      <c r="L64" s="120">
        <f>VLOOKUP(D64,'Existing Building EUI'!$B$7:$E$16,3,FALSE)*0.8</f>
        <v>216</v>
      </c>
      <c r="M64" s="158">
        <v>0</v>
      </c>
      <c r="N64" s="158">
        <v>0</v>
      </c>
      <c r="O64" s="159">
        <v>0.08</v>
      </c>
      <c r="P64" s="159">
        <v>0.15</v>
      </c>
      <c r="Q64" s="158">
        <v>0.14000000000000001</v>
      </c>
      <c r="R64" s="119">
        <v>0.2</v>
      </c>
      <c r="S64" s="119">
        <v>0</v>
      </c>
      <c r="T64" s="119">
        <v>0</v>
      </c>
      <c r="U64" s="121">
        <f t="shared" si="12"/>
        <v>0</v>
      </c>
      <c r="V64" s="121">
        <f t="shared" si="13"/>
        <v>0</v>
      </c>
      <c r="W64" s="121">
        <f t="shared" si="14"/>
        <v>201.48</v>
      </c>
      <c r="X64" s="121">
        <f t="shared" si="15"/>
        <v>186.15</v>
      </c>
      <c r="Y64" s="121">
        <f t="shared" si="16"/>
        <v>185.76</v>
      </c>
      <c r="Z64" s="121">
        <f t="shared" si="17"/>
        <v>172.8</v>
      </c>
      <c r="AA64" s="159">
        <f t="shared" si="18"/>
        <v>0.10979310344827584</v>
      </c>
      <c r="AB64" s="122">
        <f t="shared" si="19"/>
        <v>0.17482758620689645</v>
      </c>
    </row>
    <row r="65" spans="1:28" s="123" customFormat="1" ht="42.75" x14ac:dyDescent="0.25">
      <c r="A65" s="161" t="s">
        <v>237</v>
      </c>
      <c r="B65" s="116" t="str">
        <f t="shared" si="11"/>
        <v>[D] Domestic Hot Water - Low Carbon District Energy SystemMid Rise Office</v>
      </c>
      <c r="C65" s="117" t="s">
        <v>278</v>
      </c>
      <c r="D65" s="118" t="s">
        <v>103</v>
      </c>
      <c r="E65" s="119">
        <v>0.2</v>
      </c>
      <c r="F65" s="119">
        <v>0.3</v>
      </c>
      <c r="G65" s="119">
        <v>0.3</v>
      </c>
      <c r="H65" s="119">
        <v>0.75</v>
      </c>
      <c r="I65" s="119">
        <f t="shared" ref="I65:I71" si="22">AVERAGE(G65:H65)</f>
        <v>0.52500000000000002</v>
      </c>
      <c r="J65" s="120">
        <v>0</v>
      </c>
      <c r="K65" s="120">
        <f>VLOOKUP(D65,'Existing Building EUI'!$B$7:$E$16,4,FALSE)</f>
        <v>219</v>
      </c>
      <c r="L65" s="120">
        <f>VLOOKUP(D65,'Existing Building EUI'!$B$7:$E$16,3,FALSE)*0.8</f>
        <v>216</v>
      </c>
      <c r="M65" s="158">
        <v>0</v>
      </c>
      <c r="N65" s="158">
        <v>0</v>
      </c>
      <c r="O65" s="159">
        <v>0</v>
      </c>
      <c r="P65" s="159">
        <v>0</v>
      </c>
      <c r="Q65" s="119">
        <v>0</v>
      </c>
      <c r="R65" s="119">
        <v>0</v>
      </c>
      <c r="S65" s="119">
        <v>0</v>
      </c>
      <c r="T65" s="119">
        <v>0</v>
      </c>
      <c r="U65" s="121">
        <f t="shared" si="12"/>
        <v>0</v>
      </c>
      <c r="V65" s="121">
        <f t="shared" si="13"/>
        <v>0</v>
      </c>
      <c r="W65" s="121">
        <f t="shared" si="14"/>
        <v>219</v>
      </c>
      <c r="X65" s="121">
        <f t="shared" si="15"/>
        <v>219</v>
      </c>
      <c r="Y65" s="121">
        <f t="shared" si="16"/>
        <v>216</v>
      </c>
      <c r="Z65" s="121">
        <f t="shared" si="17"/>
        <v>216</v>
      </c>
      <c r="AA65" s="159">
        <f t="shared" si="18"/>
        <v>0</v>
      </c>
      <c r="AB65" s="122">
        <f t="shared" si="19"/>
        <v>0</v>
      </c>
    </row>
    <row r="66" spans="1:28" s="123" customFormat="1" ht="42.75" x14ac:dyDescent="0.25">
      <c r="A66" s="161" t="s">
        <v>237</v>
      </c>
      <c r="B66" s="116" t="str">
        <f t="shared" si="11"/>
        <v>[D] Domestic Hot Water - Heat Pump and Electric Resistance Water HeatersMid Rise Office</v>
      </c>
      <c r="C66" s="117" t="s">
        <v>228</v>
      </c>
      <c r="D66" s="118" t="s">
        <v>103</v>
      </c>
      <c r="E66" s="119">
        <v>0.2</v>
      </c>
      <c r="F66" s="119">
        <v>0.3</v>
      </c>
      <c r="G66" s="119">
        <v>0.3</v>
      </c>
      <c r="H66" s="119">
        <v>0.75</v>
      </c>
      <c r="I66" s="119">
        <f t="shared" si="22"/>
        <v>0.52500000000000002</v>
      </c>
      <c r="J66" s="120">
        <v>0</v>
      </c>
      <c r="K66" s="120">
        <f>VLOOKUP(D66,'Existing Building EUI'!$B$7:$E$16,4,FALSE)</f>
        <v>219</v>
      </c>
      <c r="L66" s="120">
        <f>VLOOKUP(D66,'Existing Building EUI'!$B$7:$E$16,3,FALSE)*0.8</f>
        <v>216</v>
      </c>
      <c r="M66" s="158">
        <v>0</v>
      </c>
      <c r="N66" s="158">
        <v>0</v>
      </c>
      <c r="O66" s="159">
        <v>0</v>
      </c>
      <c r="P66" s="159">
        <v>0</v>
      </c>
      <c r="Q66" s="125">
        <v>0.02</v>
      </c>
      <c r="R66" s="119">
        <v>0.15</v>
      </c>
      <c r="S66" s="125">
        <f>Q66/-4</f>
        <v>-5.0000000000000001E-3</v>
      </c>
      <c r="T66" s="125">
        <f>R66/-4</f>
        <v>-3.7499999999999999E-2</v>
      </c>
      <c r="U66" s="121">
        <f t="shared" si="12"/>
        <v>0</v>
      </c>
      <c r="V66" s="121">
        <f t="shared" si="13"/>
        <v>0</v>
      </c>
      <c r="W66" s="121">
        <f t="shared" si="14"/>
        <v>219</v>
      </c>
      <c r="X66" s="121">
        <f t="shared" si="15"/>
        <v>219</v>
      </c>
      <c r="Y66" s="121">
        <f t="shared" si="16"/>
        <v>211.68</v>
      </c>
      <c r="Z66" s="121">
        <f t="shared" si="17"/>
        <v>183.6</v>
      </c>
      <c r="AA66" s="159">
        <f t="shared" si="18"/>
        <v>9.9310344827586057E-3</v>
      </c>
      <c r="AB66" s="122">
        <f t="shared" si="19"/>
        <v>7.4482758620689607E-2</v>
      </c>
    </row>
    <row r="67" spans="1:28" s="123" customFormat="1" ht="42.75" hidden="1" x14ac:dyDescent="0.25">
      <c r="A67" s="161" t="s">
        <v>237</v>
      </c>
      <c r="B67" s="116" t="str">
        <f t="shared" si="11"/>
        <v>[D] Heating &amp; Cooling Systems - Air Source Heat PumpsMid Rise Office</v>
      </c>
      <c r="C67" s="117" t="s">
        <v>225</v>
      </c>
      <c r="D67" s="118" t="s">
        <v>103</v>
      </c>
      <c r="E67" s="119">
        <v>0.2</v>
      </c>
      <c r="F67" s="119">
        <v>0.3</v>
      </c>
      <c r="G67" s="119">
        <v>0.3</v>
      </c>
      <c r="H67" s="119">
        <v>0.75</v>
      </c>
      <c r="I67" s="119">
        <f t="shared" si="22"/>
        <v>0.52500000000000002</v>
      </c>
      <c r="J67" s="120">
        <v>0</v>
      </c>
      <c r="K67" s="120">
        <f>VLOOKUP(D67,'Existing Building EUI'!$B$7:$E$16,4,FALSE)</f>
        <v>219</v>
      </c>
      <c r="L67" s="120">
        <f>VLOOKUP(D67,'Existing Building EUI'!$B$7:$E$16,3,FALSE)*0.8</f>
        <v>216</v>
      </c>
      <c r="M67" s="158">
        <v>0</v>
      </c>
      <c r="N67" s="158">
        <v>0</v>
      </c>
      <c r="O67" s="159">
        <v>0</v>
      </c>
      <c r="P67" s="159">
        <v>0</v>
      </c>
      <c r="Q67" s="125">
        <v>0.85</v>
      </c>
      <c r="R67" s="119">
        <v>0.95</v>
      </c>
      <c r="S67" s="125">
        <f>Q67/-2</f>
        <v>-0.42499999999999999</v>
      </c>
      <c r="T67" s="125">
        <f>R67/-2</f>
        <v>-0.47499999999999998</v>
      </c>
      <c r="U67" s="121">
        <f t="shared" si="12"/>
        <v>0</v>
      </c>
      <c r="V67" s="121">
        <f t="shared" si="13"/>
        <v>0</v>
      </c>
      <c r="W67" s="121">
        <f t="shared" si="14"/>
        <v>219</v>
      </c>
      <c r="X67" s="121">
        <f t="shared" si="15"/>
        <v>219</v>
      </c>
      <c r="Y67" s="121">
        <f t="shared" si="16"/>
        <v>32.400000000000006</v>
      </c>
      <c r="Z67" s="121">
        <f t="shared" si="17"/>
        <v>10.80000000000001</v>
      </c>
      <c r="AA67" s="159">
        <f t="shared" si="18"/>
        <v>0.42206896551724138</v>
      </c>
      <c r="AB67" s="122">
        <f t="shared" si="19"/>
        <v>0.47172413793103446</v>
      </c>
    </row>
    <row r="68" spans="1:28" s="123" customFormat="1" ht="42.75" hidden="1" x14ac:dyDescent="0.25">
      <c r="A68" s="161" t="s">
        <v>237</v>
      </c>
      <c r="B68" s="116" t="str">
        <f t="shared" si="11"/>
        <v>[D] Heating &amp; Cooling Systems - Low Carbon District Energy SystemMid Rise Office</v>
      </c>
      <c r="C68" s="117" t="s">
        <v>279</v>
      </c>
      <c r="D68" s="118" t="s">
        <v>103</v>
      </c>
      <c r="E68" s="119">
        <v>0.2</v>
      </c>
      <c r="F68" s="119">
        <v>0.3</v>
      </c>
      <c r="G68" s="119">
        <v>0.3</v>
      </c>
      <c r="H68" s="119">
        <v>0.75</v>
      </c>
      <c r="I68" s="119">
        <f t="shared" si="22"/>
        <v>0.52500000000000002</v>
      </c>
      <c r="J68" s="120">
        <v>0</v>
      </c>
      <c r="K68" s="120">
        <f>VLOOKUP(D68,'Existing Building EUI'!$B$7:$E$16,4,FALSE)</f>
        <v>219</v>
      </c>
      <c r="L68" s="120">
        <f>VLOOKUP(D68,'Existing Building EUI'!$B$7:$E$16,3,FALSE)*0.8</f>
        <v>216</v>
      </c>
      <c r="M68" s="158">
        <v>0</v>
      </c>
      <c r="N68" s="158">
        <v>0</v>
      </c>
      <c r="O68" s="159">
        <v>0</v>
      </c>
      <c r="P68" s="159">
        <v>0</v>
      </c>
      <c r="Q68" s="119">
        <v>0</v>
      </c>
      <c r="R68" s="119">
        <v>0</v>
      </c>
      <c r="S68" s="119">
        <v>0</v>
      </c>
      <c r="T68" s="119">
        <v>0</v>
      </c>
      <c r="U68" s="121">
        <f t="shared" si="12"/>
        <v>0</v>
      </c>
      <c r="V68" s="121">
        <f t="shared" si="13"/>
        <v>0</v>
      </c>
      <c r="W68" s="121">
        <f t="shared" si="14"/>
        <v>219</v>
      </c>
      <c r="X68" s="121">
        <f t="shared" si="15"/>
        <v>219</v>
      </c>
      <c r="Y68" s="121">
        <f t="shared" si="16"/>
        <v>216</v>
      </c>
      <c r="Z68" s="121">
        <f t="shared" si="17"/>
        <v>216</v>
      </c>
      <c r="AA68" s="159">
        <f t="shared" si="18"/>
        <v>0</v>
      </c>
      <c r="AB68" s="122">
        <f t="shared" si="19"/>
        <v>0</v>
      </c>
    </row>
    <row r="69" spans="1:28" s="123" customFormat="1" ht="57" hidden="1" customHeight="1" x14ac:dyDescent="0.25">
      <c r="A69" s="161" t="s">
        <v>237</v>
      </c>
      <c r="B69" s="116" t="str">
        <f t="shared" si="11"/>
        <v>[D] Heating &amp; Cooling Systems - Ground Source Heat PumpsMid Rise Office</v>
      </c>
      <c r="C69" s="117" t="s">
        <v>226</v>
      </c>
      <c r="D69" s="118" t="s">
        <v>103</v>
      </c>
      <c r="E69" s="119">
        <v>0.2</v>
      </c>
      <c r="F69" s="119">
        <v>0.3</v>
      </c>
      <c r="G69" s="119">
        <v>0.3</v>
      </c>
      <c r="H69" s="119">
        <v>0.75</v>
      </c>
      <c r="I69" s="119">
        <f t="shared" si="22"/>
        <v>0.52500000000000002</v>
      </c>
      <c r="J69" s="120">
        <v>0</v>
      </c>
      <c r="K69" s="120">
        <f>VLOOKUP(D69,'Existing Building EUI'!$B$7:$E$16,4,FALSE)</f>
        <v>219</v>
      </c>
      <c r="L69" s="120">
        <f>VLOOKUP(D69,'Existing Building EUI'!$B$7:$E$16,3,FALSE)*0.8</f>
        <v>216</v>
      </c>
      <c r="M69" s="158">
        <v>0</v>
      </c>
      <c r="N69" s="158">
        <v>0</v>
      </c>
      <c r="O69" s="159">
        <v>0</v>
      </c>
      <c r="P69" s="159">
        <v>0</v>
      </c>
      <c r="Q69" s="125">
        <v>0.85</v>
      </c>
      <c r="R69" s="119">
        <v>0.95</v>
      </c>
      <c r="S69" s="126">
        <f>Q69/-3</f>
        <v>-0.28333333333333333</v>
      </c>
      <c r="T69" s="126">
        <f>R69/-3</f>
        <v>-0.31666666666666665</v>
      </c>
      <c r="U69" s="121">
        <f t="shared" si="12"/>
        <v>0</v>
      </c>
      <c r="V69" s="121">
        <f t="shared" si="13"/>
        <v>0</v>
      </c>
      <c r="W69" s="121">
        <f t="shared" si="14"/>
        <v>219</v>
      </c>
      <c r="X69" s="121">
        <f t="shared" si="15"/>
        <v>219</v>
      </c>
      <c r="Y69" s="121">
        <f t="shared" si="16"/>
        <v>32.400000000000006</v>
      </c>
      <c r="Z69" s="121">
        <f t="shared" si="17"/>
        <v>10.80000000000001</v>
      </c>
      <c r="AA69" s="159">
        <f t="shared" si="18"/>
        <v>0.42206896551724138</v>
      </c>
      <c r="AB69" s="122">
        <f t="shared" si="19"/>
        <v>0.47172413793103446</v>
      </c>
    </row>
    <row r="70" spans="1:28" s="123" customFormat="1" ht="28.5" hidden="1" x14ac:dyDescent="0.25">
      <c r="A70" s="161" t="s">
        <v>237</v>
      </c>
      <c r="B70" s="116" t="str">
        <f t="shared" ref="B70:B101" si="23">C70&amp;D70</f>
        <v>[D] Lighting and Lighting ControlsMid Rise Office</v>
      </c>
      <c r="C70" s="117" t="s">
        <v>253</v>
      </c>
      <c r="D70" s="118" t="s">
        <v>103</v>
      </c>
      <c r="E70" s="119">
        <v>0.01</v>
      </c>
      <c r="F70" s="119">
        <v>0.1</v>
      </c>
      <c r="G70" s="119">
        <v>0.01</v>
      </c>
      <c r="H70" s="119">
        <v>0.1</v>
      </c>
      <c r="I70" s="119">
        <f t="shared" si="22"/>
        <v>5.5E-2</v>
      </c>
      <c r="J70" s="120">
        <v>0</v>
      </c>
      <c r="K70" s="120">
        <f>VLOOKUP(D70,'Existing Building EUI'!$B$7:$E$16,4,FALSE)</f>
        <v>219</v>
      </c>
      <c r="L70" s="120">
        <f>VLOOKUP(D70,'Existing Building EUI'!$B$7:$E$16,3,FALSE)*0.8</f>
        <v>216</v>
      </c>
      <c r="M70" s="158">
        <v>0</v>
      </c>
      <c r="N70" s="119">
        <v>0</v>
      </c>
      <c r="O70" s="159">
        <v>0.03</v>
      </c>
      <c r="P70" s="159">
        <v>0.22</v>
      </c>
      <c r="Q70" s="119">
        <v>0</v>
      </c>
      <c r="R70" s="119">
        <v>0</v>
      </c>
      <c r="S70" s="119">
        <v>0</v>
      </c>
      <c r="T70" s="119">
        <v>0</v>
      </c>
      <c r="U70" s="121">
        <f t="shared" ref="U70:U101" si="24">J70-(J70*M70)</f>
        <v>0</v>
      </c>
      <c r="V70" s="121">
        <f t="shared" ref="V70:V101" si="25">J70-(J70*N70)</f>
        <v>0</v>
      </c>
      <c r="W70" s="121">
        <f t="shared" ref="W70:W101" si="26">K70-((K70*O70)+(J70*S70))</f>
        <v>212.43</v>
      </c>
      <c r="X70" s="121">
        <f t="shared" ref="X70:X101" si="27">K70-((K70*P70)+(J70*T70))</f>
        <v>170.82</v>
      </c>
      <c r="Y70" s="121">
        <f t="shared" ref="Y70:Y101" si="28">(1-Q70)*L70</f>
        <v>216</v>
      </c>
      <c r="Z70" s="121">
        <f t="shared" ref="Z70:Z101" si="29">(1-R70)*L70</f>
        <v>216</v>
      </c>
      <c r="AA70" s="159">
        <f t="shared" ref="AA70:AA101" si="30">(SUM(U70,W70,Y70)-SUM(J70:L70))/SUM(J70:L70)*-1</f>
        <v>1.5103448275862054E-2</v>
      </c>
      <c r="AB70" s="122">
        <f t="shared" ref="AB70:AB101" si="31">(SUM(V70,X70,Z70)-SUM(J70:L70))/SUM(J70:L70)*-1</f>
        <v>0.11075862068965518</v>
      </c>
    </row>
    <row r="71" spans="1:28" s="123" customFormat="1" ht="28.5" hidden="1" x14ac:dyDescent="0.25">
      <c r="A71" s="161" t="s">
        <v>237</v>
      </c>
      <c r="B71" s="116" t="str">
        <f t="shared" si="23"/>
        <v>[D] Renewables - Solar PVMid Rise Office</v>
      </c>
      <c r="C71" s="117" t="s">
        <v>249</v>
      </c>
      <c r="D71" s="118" t="s">
        <v>103</v>
      </c>
      <c r="E71" s="119">
        <v>0.01</v>
      </c>
      <c r="F71" s="119">
        <v>0.1</v>
      </c>
      <c r="G71" s="119">
        <v>0.01</v>
      </c>
      <c r="H71" s="119">
        <v>0.05</v>
      </c>
      <c r="I71" s="119">
        <f t="shared" si="22"/>
        <v>3.0000000000000002E-2</v>
      </c>
      <c r="J71" s="120">
        <v>0</v>
      </c>
      <c r="K71" s="120">
        <f>VLOOKUP(D71,'Existing Building EUI'!$B$7:$E$16,4,FALSE)</f>
        <v>219</v>
      </c>
      <c r="L71" s="120">
        <f>VLOOKUP(D71,'Existing Building EUI'!$B$7:$E$16,3,FALSE)*0.8</f>
        <v>216</v>
      </c>
      <c r="M71" s="158">
        <v>0</v>
      </c>
      <c r="N71" s="119">
        <v>0</v>
      </c>
      <c r="O71" s="159">
        <v>0.02</v>
      </c>
      <c r="P71" s="159">
        <v>0.22</v>
      </c>
      <c r="Q71" s="119">
        <v>0</v>
      </c>
      <c r="R71" s="119">
        <v>0</v>
      </c>
      <c r="S71" s="119">
        <v>0</v>
      </c>
      <c r="T71" s="119">
        <v>0</v>
      </c>
      <c r="U71" s="121">
        <f t="shared" si="24"/>
        <v>0</v>
      </c>
      <c r="V71" s="121">
        <f t="shared" si="25"/>
        <v>0</v>
      </c>
      <c r="W71" s="121">
        <f t="shared" si="26"/>
        <v>214.62</v>
      </c>
      <c r="X71" s="121">
        <f t="shared" si="27"/>
        <v>170.82</v>
      </c>
      <c r="Y71" s="121">
        <f t="shared" si="28"/>
        <v>216</v>
      </c>
      <c r="Z71" s="121">
        <f t="shared" si="29"/>
        <v>216</v>
      </c>
      <c r="AA71" s="159">
        <f t="shared" si="30"/>
        <v>1.0068965517241369E-2</v>
      </c>
      <c r="AB71" s="122">
        <f t="shared" si="31"/>
        <v>0.11075862068965518</v>
      </c>
    </row>
    <row r="72" spans="1:28" s="123" customFormat="1" ht="28.5" hidden="1" x14ac:dyDescent="0.25">
      <c r="A72" s="161" t="s">
        <v>237</v>
      </c>
      <c r="B72" s="116" t="str">
        <f t="shared" si="23"/>
        <v>[D] Renewables - Solar ThermalMid Rise Office</v>
      </c>
      <c r="C72" s="117" t="s">
        <v>242</v>
      </c>
      <c r="D72" s="118" t="s">
        <v>103</v>
      </c>
      <c r="E72" s="119">
        <v>0.01</v>
      </c>
      <c r="F72" s="119">
        <v>0.1</v>
      </c>
      <c r="G72" s="119">
        <v>0.01</v>
      </c>
      <c r="H72" s="119">
        <v>0.03</v>
      </c>
      <c r="I72" s="119">
        <v>0.02</v>
      </c>
      <c r="J72" s="120">
        <v>0</v>
      </c>
      <c r="K72" s="120">
        <f>VLOOKUP(D72,'Existing Building EUI'!$B$7:$E$16,4,FALSE)</f>
        <v>219</v>
      </c>
      <c r="L72" s="120">
        <f>VLOOKUP(D72,'Existing Building EUI'!$B$7:$E$16,3,FALSE)*0.8</f>
        <v>216</v>
      </c>
      <c r="M72" s="158">
        <v>0</v>
      </c>
      <c r="N72" s="158">
        <v>0</v>
      </c>
      <c r="O72" s="159">
        <v>0</v>
      </c>
      <c r="P72" s="159">
        <v>0</v>
      </c>
      <c r="Q72" s="158">
        <v>0.02</v>
      </c>
      <c r="R72" s="119">
        <v>0.1</v>
      </c>
      <c r="S72" s="119">
        <v>0</v>
      </c>
      <c r="T72" s="119">
        <v>0</v>
      </c>
      <c r="U72" s="121">
        <f t="shared" si="24"/>
        <v>0</v>
      </c>
      <c r="V72" s="121">
        <f t="shared" si="25"/>
        <v>0</v>
      </c>
      <c r="W72" s="121">
        <f t="shared" si="26"/>
        <v>219</v>
      </c>
      <c r="X72" s="121">
        <f t="shared" si="27"/>
        <v>219</v>
      </c>
      <c r="Y72" s="121">
        <f t="shared" si="28"/>
        <v>211.68</v>
      </c>
      <c r="Z72" s="121">
        <f t="shared" si="29"/>
        <v>194.4</v>
      </c>
      <c r="AA72" s="159">
        <f t="shared" si="30"/>
        <v>9.9310344827586057E-3</v>
      </c>
      <c r="AB72" s="122">
        <f t="shared" si="31"/>
        <v>4.9655172413793157E-2</v>
      </c>
    </row>
    <row r="73" spans="1:28" s="123" customFormat="1" ht="57" hidden="1" customHeight="1" x14ac:dyDescent="0.25">
      <c r="A73" s="161" t="s">
        <v>237</v>
      </c>
      <c r="B73" s="116" t="str">
        <f t="shared" si="23"/>
        <v>[D] Ventilation Systems - Energy Recovery Ventilator (ERV)Mid Rise Office</v>
      </c>
      <c r="C73" s="117" t="s">
        <v>241</v>
      </c>
      <c r="D73" s="118" t="s">
        <v>103</v>
      </c>
      <c r="E73" s="119">
        <v>0.01</v>
      </c>
      <c r="F73" s="119">
        <v>0.05</v>
      </c>
      <c r="G73" s="119">
        <v>0.01</v>
      </c>
      <c r="H73" s="119">
        <v>0.1</v>
      </c>
      <c r="I73" s="119">
        <v>5.5E-2</v>
      </c>
      <c r="J73" s="120">
        <v>0</v>
      </c>
      <c r="K73" s="120">
        <f>VLOOKUP(D73,'Existing Building EUI'!$B$7:$E$16,4,FALSE)</f>
        <v>219</v>
      </c>
      <c r="L73" s="120">
        <f>VLOOKUP(D73,'Existing Building EUI'!$B$7:$E$16,3,FALSE)*0.8</f>
        <v>216</v>
      </c>
      <c r="M73" s="158">
        <v>0</v>
      </c>
      <c r="N73" s="158">
        <v>0</v>
      </c>
      <c r="O73" s="119">
        <v>0.01</v>
      </c>
      <c r="P73" s="159">
        <v>0.05</v>
      </c>
      <c r="Q73" s="119">
        <v>0.02</v>
      </c>
      <c r="R73" s="119">
        <v>0.1</v>
      </c>
      <c r="S73" s="126">
        <v>0</v>
      </c>
      <c r="T73" s="126">
        <v>0</v>
      </c>
      <c r="U73" s="121">
        <f t="shared" si="24"/>
        <v>0</v>
      </c>
      <c r="V73" s="121">
        <f t="shared" si="25"/>
        <v>0</v>
      </c>
      <c r="W73" s="121">
        <f t="shared" si="26"/>
        <v>216.81</v>
      </c>
      <c r="X73" s="121">
        <f t="shared" si="27"/>
        <v>208.05</v>
      </c>
      <c r="Y73" s="121">
        <f t="shared" si="28"/>
        <v>211.68</v>
      </c>
      <c r="Z73" s="121">
        <f t="shared" si="29"/>
        <v>194.4</v>
      </c>
      <c r="AA73" s="159">
        <f t="shared" si="30"/>
        <v>1.4965517241379289E-2</v>
      </c>
      <c r="AB73" s="122">
        <f t="shared" si="31"/>
        <v>7.4827586206896446E-2</v>
      </c>
    </row>
    <row r="74" spans="1:28" s="123" customFormat="1" ht="57" hidden="1" customHeight="1" x14ac:dyDescent="0.25">
      <c r="A74" s="161" t="s">
        <v>237</v>
      </c>
      <c r="B74" s="116" t="str">
        <f t="shared" si="23"/>
        <v>[D] Appliance UpgradesMixed Use</v>
      </c>
      <c r="C74" s="117" t="s">
        <v>252</v>
      </c>
      <c r="D74" s="118" t="s">
        <v>120</v>
      </c>
      <c r="E74" s="119">
        <v>0.01</v>
      </c>
      <c r="F74" s="119">
        <v>0.1</v>
      </c>
      <c r="G74" s="119">
        <v>0.01</v>
      </c>
      <c r="H74" s="119">
        <v>0.1</v>
      </c>
      <c r="I74" s="119">
        <f t="shared" ref="I74:I105" si="32">AVERAGE(G74:H74)</f>
        <v>5.5E-2</v>
      </c>
      <c r="J74" s="120">
        <v>0</v>
      </c>
      <c r="K74" s="120">
        <f>VLOOKUP(D74,'Existing Building EUI'!$B$7:$E$16,4,FALSE)</f>
        <v>322</v>
      </c>
      <c r="L74" s="120">
        <f>VLOOKUP(D74,'Existing Building EUI'!$B$7:$E$16,3,FALSE)*0.8</f>
        <v>214.4</v>
      </c>
      <c r="M74" s="158">
        <v>0</v>
      </c>
      <c r="N74" s="119">
        <v>0</v>
      </c>
      <c r="O74" s="159">
        <v>0.02</v>
      </c>
      <c r="P74" s="159">
        <v>0.18</v>
      </c>
      <c r="Q74" s="119">
        <v>0</v>
      </c>
      <c r="R74" s="119">
        <v>0</v>
      </c>
      <c r="S74" s="119">
        <v>0</v>
      </c>
      <c r="T74" s="119">
        <v>0</v>
      </c>
      <c r="U74" s="121">
        <f t="shared" si="24"/>
        <v>0</v>
      </c>
      <c r="V74" s="121">
        <f t="shared" si="25"/>
        <v>0</v>
      </c>
      <c r="W74" s="121">
        <f t="shared" si="26"/>
        <v>315.56</v>
      </c>
      <c r="X74" s="121">
        <f t="shared" si="27"/>
        <v>264.04000000000002</v>
      </c>
      <c r="Y74" s="121">
        <f t="shared" si="28"/>
        <v>214.4</v>
      </c>
      <c r="Z74" s="121">
        <f t="shared" si="29"/>
        <v>214.4</v>
      </c>
      <c r="AA74" s="159">
        <f t="shared" si="30"/>
        <v>1.2005965697240755E-2</v>
      </c>
      <c r="AB74" s="122">
        <f t="shared" si="31"/>
        <v>0.10805369127516765</v>
      </c>
    </row>
    <row r="75" spans="1:28" s="123" customFormat="1" ht="57" hidden="1" x14ac:dyDescent="0.25">
      <c r="A75" s="161" t="s">
        <v>237</v>
      </c>
      <c r="B75" s="116" t="str">
        <f t="shared" si="23"/>
        <v>[D] Building Envelope - High Performance Envelope (Recladding, Air Sealing, New Insulation) Mixed Use</v>
      </c>
      <c r="C75" s="117" t="s">
        <v>243</v>
      </c>
      <c r="D75" s="118" t="s">
        <v>120</v>
      </c>
      <c r="E75" s="119">
        <v>0.11</v>
      </c>
      <c r="F75" s="119">
        <v>0.2</v>
      </c>
      <c r="G75" s="119">
        <v>0.11</v>
      </c>
      <c r="H75" s="119">
        <v>0.2</v>
      </c>
      <c r="I75" s="119">
        <f t="shared" si="32"/>
        <v>0.155</v>
      </c>
      <c r="J75" s="120">
        <v>0</v>
      </c>
      <c r="K75" s="120">
        <f>VLOOKUP(D75,'Existing Building EUI'!$B$7:$E$16,4,FALSE)</f>
        <v>322</v>
      </c>
      <c r="L75" s="120">
        <f>VLOOKUP(D75,'Existing Building EUI'!$B$7:$E$16,3,FALSE)*0.8</f>
        <v>214.4</v>
      </c>
      <c r="M75" s="158">
        <v>0</v>
      </c>
      <c r="N75" s="158">
        <v>0</v>
      </c>
      <c r="O75" s="159">
        <v>0.08</v>
      </c>
      <c r="P75" s="159">
        <v>0.15</v>
      </c>
      <c r="Q75" s="158">
        <v>0.14000000000000001</v>
      </c>
      <c r="R75" s="119">
        <v>0.2</v>
      </c>
      <c r="S75" s="119">
        <v>0</v>
      </c>
      <c r="T75" s="119">
        <v>0</v>
      </c>
      <c r="U75" s="121">
        <f t="shared" si="24"/>
        <v>0</v>
      </c>
      <c r="V75" s="121">
        <f t="shared" si="25"/>
        <v>0</v>
      </c>
      <c r="W75" s="121">
        <f t="shared" si="26"/>
        <v>296.24</v>
      </c>
      <c r="X75" s="121">
        <f t="shared" si="27"/>
        <v>273.7</v>
      </c>
      <c r="Y75" s="121">
        <f t="shared" si="28"/>
        <v>184.38400000000001</v>
      </c>
      <c r="Z75" s="121">
        <f t="shared" si="29"/>
        <v>171.52</v>
      </c>
      <c r="AA75" s="159">
        <f t="shared" si="30"/>
        <v>0.10398210290827732</v>
      </c>
      <c r="AB75" s="122">
        <f t="shared" si="31"/>
        <v>0.16998508575689775</v>
      </c>
    </row>
    <row r="76" spans="1:28" s="123" customFormat="1" ht="42.75" hidden="1" x14ac:dyDescent="0.25">
      <c r="A76" s="161" t="s">
        <v>237</v>
      </c>
      <c r="B76" s="116" t="str">
        <f t="shared" si="23"/>
        <v>[D] Building Envelope - High Performance Glazing with Enhanced Air SealingMixed Use</v>
      </c>
      <c r="C76" s="117" t="s">
        <v>239</v>
      </c>
      <c r="D76" s="118" t="s">
        <v>120</v>
      </c>
      <c r="E76" s="119">
        <v>0.01</v>
      </c>
      <c r="F76" s="119">
        <v>0.1</v>
      </c>
      <c r="G76" s="119">
        <v>0.01</v>
      </c>
      <c r="H76" s="119">
        <v>0.1</v>
      </c>
      <c r="I76" s="119">
        <f t="shared" si="32"/>
        <v>5.5E-2</v>
      </c>
      <c r="J76" s="120">
        <v>0</v>
      </c>
      <c r="K76" s="120">
        <f>VLOOKUP(D76,'Existing Building EUI'!$B$7:$E$16,4,FALSE)</f>
        <v>322</v>
      </c>
      <c r="L76" s="120">
        <f>VLOOKUP(D76,'Existing Building EUI'!$B$7:$E$16,3,FALSE)*0.8</f>
        <v>214.4</v>
      </c>
      <c r="M76" s="158">
        <v>0</v>
      </c>
      <c r="N76" s="158">
        <v>0</v>
      </c>
      <c r="O76" s="158">
        <v>0.01</v>
      </c>
      <c r="P76" s="159">
        <v>0.08</v>
      </c>
      <c r="Q76" s="158">
        <v>0.01</v>
      </c>
      <c r="R76" s="119">
        <v>0.12</v>
      </c>
      <c r="S76" s="119">
        <v>0</v>
      </c>
      <c r="T76" s="119">
        <v>0</v>
      </c>
      <c r="U76" s="121">
        <f t="shared" si="24"/>
        <v>0</v>
      </c>
      <c r="V76" s="121">
        <f t="shared" si="25"/>
        <v>0</v>
      </c>
      <c r="W76" s="121">
        <f t="shared" si="26"/>
        <v>318.77999999999997</v>
      </c>
      <c r="X76" s="121">
        <f t="shared" si="27"/>
        <v>296.24</v>
      </c>
      <c r="Y76" s="121">
        <f t="shared" si="28"/>
        <v>212.256</v>
      </c>
      <c r="Z76" s="121">
        <f t="shared" si="29"/>
        <v>188.672</v>
      </c>
      <c r="AA76" s="159">
        <f t="shared" si="30"/>
        <v>1.0000000000000061E-2</v>
      </c>
      <c r="AB76" s="122">
        <f t="shared" si="31"/>
        <v>9.5988068605518173E-2</v>
      </c>
    </row>
    <row r="77" spans="1:28" s="123" customFormat="1" ht="42.75" x14ac:dyDescent="0.25">
      <c r="A77" s="161" t="s">
        <v>237</v>
      </c>
      <c r="B77" s="116" t="str">
        <f t="shared" si="23"/>
        <v>[D] Domestic Hot Water - Low Carbon District Energy SystemMixed Use</v>
      </c>
      <c r="C77" s="117" t="s">
        <v>278</v>
      </c>
      <c r="D77" s="118" t="s">
        <v>120</v>
      </c>
      <c r="E77" s="119">
        <v>0.2</v>
      </c>
      <c r="F77" s="119">
        <v>0.3</v>
      </c>
      <c r="G77" s="119">
        <v>0.3</v>
      </c>
      <c r="H77" s="119">
        <v>0.75</v>
      </c>
      <c r="I77" s="119">
        <f t="shared" si="32"/>
        <v>0.52500000000000002</v>
      </c>
      <c r="J77" s="120">
        <v>0</v>
      </c>
      <c r="K77" s="120">
        <f>VLOOKUP(D77,'Existing Building EUI'!$B$7:$E$16,4,FALSE)</f>
        <v>322</v>
      </c>
      <c r="L77" s="120">
        <f>VLOOKUP(D77,'Existing Building EUI'!$B$7:$E$16,3,FALSE)*0.8</f>
        <v>214.4</v>
      </c>
      <c r="M77" s="158">
        <v>0</v>
      </c>
      <c r="N77" s="158">
        <v>0</v>
      </c>
      <c r="O77" s="159">
        <v>0</v>
      </c>
      <c r="P77" s="159">
        <v>0</v>
      </c>
      <c r="Q77" s="119">
        <v>0</v>
      </c>
      <c r="R77" s="119">
        <v>0</v>
      </c>
      <c r="S77" s="119">
        <v>0</v>
      </c>
      <c r="T77" s="119">
        <v>0</v>
      </c>
      <c r="U77" s="121">
        <f t="shared" si="24"/>
        <v>0</v>
      </c>
      <c r="V77" s="121">
        <f t="shared" si="25"/>
        <v>0</v>
      </c>
      <c r="W77" s="121">
        <f t="shared" si="26"/>
        <v>322</v>
      </c>
      <c r="X77" s="121">
        <f t="shared" si="27"/>
        <v>322</v>
      </c>
      <c r="Y77" s="121">
        <f t="shared" si="28"/>
        <v>214.4</v>
      </c>
      <c r="Z77" s="121">
        <f t="shared" si="29"/>
        <v>214.4</v>
      </c>
      <c r="AA77" s="159">
        <f t="shared" si="30"/>
        <v>0</v>
      </c>
      <c r="AB77" s="122">
        <f t="shared" si="31"/>
        <v>0</v>
      </c>
    </row>
    <row r="78" spans="1:28" s="123" customFormat="1" ht="42.75" x14ac:dyDescent="0.25">
      <c r="A78" s="161" t="s">
        <v>237</v>
      </c>
      <c r="B78" s="116" t="str">
        <f t="shared" si="23"/>
        <v>[D] Domestic Hot Water - Heat Pump and Electric Resistance Water HeatersMixed Use</v>
      </c>
      <c r="C78" s="117" t="s">
        <v>228</v>
      </c>
      <c r="D78" s="118" t="s">
        <v>120</v>
      </c>
      <c r="E78" s="119">
        <v>0.2</v>
      </c>
      <c r="F78" s="119">
        <v>0.3</v>
      </c>
      <c r="G78" s="119">
        <v>0.3</v>
      </c>
      <c r="H78" s="119">
        <v>0.75</v>
      </c>
      <c r="I78" s="119">
        <f t="shared" si="32"/>
        <v>0.52500000000000002</v>
      </c>
      <c r="J78" s="120">
        <v>0</v>
      </c>
      <c r="K78" s="120">
        <f>VLOOKUP(D78,'Existing Building EUI'!$B$7:$E$16,4,FALSE)</f>
        <v>322</v>
      </c>
      <c r="L78" s="120">
        <f>VLOOKUP(D78,'Existing Building EUI'!$B$7:$E$16,3,FALSE)*0.8</f>
        <v>214.4</v>
      </c>
      <c r="M78" s="158">
        <v>0</v>
      </c>
      <c r="N78" s="158">
        <v>0</v>
      </c>
      <c r="O78" s="159">
        <v>0</v>
      </c>
      <c r="P78" s="159">
        <v>0</v>
      </c>
      <c r="Q78" s="125">
        <v>0.02</v>
      </c>
      <c r="R78" s="119">
        <v>0.15</v>
      </c>
      <c r="S78" s="125">
        <f>Q78/-4</f>
        <v>-5.0000000000000001E-3</v>
      </c>
      <c r="T78" s="125">
        <f>R78/-4</f>
        <v>-3.7499999999999999E-2</v>
      </c>
      <c r="U78" s="121">
        <f t="shared" si="24"/>
        <v>0</v>
      </c>
      <c r="V78" s="121">
        <f t="shared" si="25"/>
        <v>0</v>
      </c>
      <c r="W78" s="121">
        <f t="shared" si="26"/>
        <v>322</v>
      </c>
      <c r="X78" s="121">
        <f t="shared" si="27"/>
        <v>322</v>
      </c>
      <c r="Y78" s="121">
        <f t="shared" si="28"/>
        <v>210.11199999999999</v>
      </c>
      <c r="Z78" s="121">
        <f t="shared" si="29"/>
        <v>182.24</v>
      </c>
      <c r="AA78" s="159">
        <f t="shared" si="30"/>
        <v>7.9940343027591551E-3</v>
      </c>
      <c r="AB78" s="122">
        <f t="shared" si="31"/>
        <v>5.9955257270693459E-2</v>
      </c>
    </row>
    <row r="79" spans="1:28" s="123" customFormat="1" ht="42.75" hidden="1" x14ac:dyDescent="0.25">
      <c r="A79" s="161" t="s">
        <v>237</v>
      </c>
      <c r="B79" s="116" t="str">
        <f t="shared" si="23"/>
        <v>[D] Gas Appliances - Electric and Induction Ranges &amp; Heat Pump Electric DryersMixed Use</v>
      </c>
      <c r="C79" s="117" t="s">
        <v>244</v>
      </c>
      <c r="D79" s="118" t="s">
        <v>120</v>
      </c>
      <c r="E79" s="119">
        <v>0.01</v>
      </c>
      <c r="F79" s="119">
        <v>0.1</v>
      </c>
      <c r="G79" s="119">
        <v>0.05</v>
      </c>
      <c r="H79" s="119">
        <v>0.2</v>
      </c>
      <c r="I79" s="119">
        <f t="shared" si="32"/>
        <v>0.125</v>
      </c>
      <c r="J79" s="120">
        <v>0</v>
      </c>
      <c r="K79" s="120">
        <f>VLOOKUP(D79,'Existing Building EUI'!$B$7:$E$16,4,FALSE)</f>
        <v>322</v>
      </c>
      <c r="L79" s="120">
        <f>VLOOKUP(D79,'Existing Building EUI'!$B$7:$E$16,3,FALSE)*0.8</f>
        <v>214.4</v>
      </c>
      <c r="M79" s="158">
        <v>1</v>
      </c>
      <c r="N79" s="119">
        <v>1</v>
      </c>
      <c r="O79" s="159">
        <v>0</v>
      </c>
      <c r="P79" s="159">
        <v>0</v>
      </c>
      <c r="Q79" s="119">
        <v>0</v>
      </c>
      <c r="R79" s="119">
        <v>0</v>
      </c>
      <c r="S79" s="126">
        <f>(M79*0.02)/-2</f>
        <v>-0.01</v>
      </c>
      <c r="T79" s="126">
        <f>(N79*0.15)/-2</f>
        <v>-7.4999999999999997E-2</v>
      </c>
      <c r="U79" s="121">
        <f t="shared" si="24"/>
        <v>0</v>
      </c>
      <c r="V79" s="121">
        <f t="shared" si="25"/>
        <v>0</v>
      </c>
      <c r="W79" s="121">
        <f t="shared" si="26"/>
        <v>322</v>
      </c>
      <c r="X79" s="121">
        <f t="shared" si="27"/>
        <v>322</v>
      </c>
      <c r="Y79" s="121">
        <f t="shared" si="28"/>
        <v>214.4</v>
      </c>
      <c r="Z79" s="121">
        <f t="shared" si="29"/>
        <v>214.4</v>
      </c>
      <c r="AA79" s="159">
        <f t="shared" si="30"/>
        <v>0</v>
      </c>
      <c r="AB79" s="122">
        <f t="shared" si="31"/>
        <v>0</v>
      </c>
    </row>
    <row r="80" spans="1:28" s="123" customFormat="1" ht="42.75" hidden="1" x14ac:dyDescent="0.25">
      <c r="A80" s="161" t="s">
        <v>237</v>
      </c>
      <c r="B80" s="116" t="str">
        <f t="shared" si="23"/>
        <v>[D] Heating &amp; Cooling Systems - Air Source Heat PumpsMixed Use</v>
      </c>
      <c r="C80" s="117" t="s">
        <v>225</v>
      </c>
      <c r="D80" s="118" t="s">
        <v>120</v>
      </c>
      <c r="E80" s="119">
        <v>0.2</v>
      </c>
      <c r="F80" s="119">
        <v>0.3</v>
      </c>
      <c r="G80" s="119">
        <v>0.3</v>
      </c>
      <c r="H80" s="119">
        <v>0.75</v>
      </c>
      <c r="I80" s="119">
        <f t="shared" si="32"/>
        <v>0.52500000000000002</v>
      </c>
      <c r="J80" s="120">
        <v>0</v>
      </c>
      <c r="K80" s="120">
        <f>VLOOKUP(D80,'Existing Building EUI'!$B$7:$E$16,4,FALSE)</f>
        <v>322</v>
      </c>
      <c r="L80" s="120">
        <f>VLOOKUP(D80,'Existing Building EUI'!$B$7:$E$16,3,FALSE)*0.8</f>
        <v>214.4</v>
      </c>
      <c r="M80" s="158">
        <v>0</v>
      </c>
      <c r="N80" s="158">
        <v>0</v>
      </c>
      <c r="O80" s="159">
        <v>0</v>
      </c>
      <c r="P80" s="159">
        <v>0</v>
      </c>
      <c r="Q80" s="125">
        <v>0.7</v>
      </c>
      <c r="R80" s="119">
        <v>0.8</v>
      </c>
      <c r="S80" s="125">
        <f>Q80/-2</f>
        <v>-0.35</v>
      </c>
      <c r="T80" s="125">
        <f>R80/-2</f>
        <v>-0.4</v>
      </c>
      <c r="U80" s="121">
        <f t="shared" si="24"/>
        <v>0</v>
      </c>
      <c r="V80" s="121">
        <f t="shared" si="25"/>
        <v>0</v>
      </c>
      <c r="W80" s="121">
        <f t="shared" si="26"/>
        <v>322</v>
      </c>
      <c r="X80" s="121">
        <f t="shared" si="27"/>
        <v>322</v>
      </c>
      <c r="Y80" s="121">
        <f t="shared" si="28"/>
        <v>64.320000000000007</v>
      </c>
      <c r="Z80" s="121">
        <f t="shared" si="29"/>
        <v>42.879999999999988</v>
      </c>
      <c r="AA80" s="159">
        <f t="shared" si="30"/>
        <v>0.2797912005965697</v>
      </c>
      <c r="AB80" s="122">
        <f t="shared" si="31"/>
        <v>0.31976137211036537</v>
      </c>
    </row>
    <row r="81" spans="1:28" s="123" customFormat="1" ht="42.75" hidden="1" x14ac:dyDescent="0.25">
      <c r="A81" s="161" t="s">
        <v>237</v>
      </c>
      <c r="B81" s="116" t="str">
        <f t="shared" si="23"/>
        <v>[D] Heating &amp; Cooling Systems - Low Carbon District Energy SystemMixed Use</v>
      </c>
      <c r="C81" s="117" t="s">
        <v>279</v>
      </c>
      <c r="D81" s="118" t="s">
        <v>120</v>
      </c>
      <c r="E81" s="119">
        <v>0.2</v>
      </c>
      <c r="F81" s="119">
        <v>0.3</v>
      </c>
      <c r="G81" s="119">
        <v>0.3</v>
      </c>
      <c r="H81" s="119">
        <v>0.75</v>
      </c>
      <c r="I81" s="119">
        <f t="shared" si="32"/>
        <v>0.52500000000000002</v>
      </c>
      <c r="J81" s="120">
        <v>0</v>
      </c>
      <c r="K81" s="120">
        <f>VLOOKUP(D81,'Existing Building EUI'!$B$7:$E$16,4,FALSE)</f>
        <v>322</v>
      </c>
      <c r="L81" s="120">
        <f>VLOOKUP(D81,'Existing Building EUI'!$B$7:$E$16,3,FALSE)*0.8</f>
        <v>214.4</v>
      </c>
      <c r="M81" s="158">
        <v>0</v>
      </c>
      <c r="N81" s="158">
        <v>0</v>
      </c>
      <c r="O81" s="159">
        <v>0</v>
      </c>
      <c r="P81" s="159">
        <v>0</v>
      </c>
      <c r="Q81" s="119">
        <v>0</v>
      </c>
      <c r="R81" s="119">
        <v>0</v>
      </c>
      <c r="S81" s="119">
        <v>0</v>
      </c>
      <c r="T81" s="119">
        <v>0</v>
      </c>
      <c r="U81" s="121">
        <f t="shared" si="24"/>
        <v>0</v>
      </c>
      <c r="V81" s="121">
        <f t="shared" si="25"/>
        <v>0</v>
      </c>
      <c r="W81" s="121">
        <f t="shared" si="26"/>
        <v>322</v>
      </c>
      <c r="X81" s="121">
        <f t="shared" si="27"/>
        <v>322</v>
      </c>
      <c r="Y81" s="121">
        <f t="shared" si="28"/>
        <v>214.4</v>
      </c>
      <c r="Z81" s="121">
        <f t="shared" si="29"/>
        <v>214.4</v>
      </c>
      <c r="AA81" s="159">
        <f t="shared" si="30"/>
        <v>0</v>
      </c>
      <c r="AB81" s="122">
        <f t="shared" si="31"/>
        <v>0</v>
      </c>
    </row>
    <row r="82" spans="1:28" s="123" customFormat="1" ht="42.75" hidden="1" x14ac:dyDescent="0.25">
      <c r="A82" s="161" t="s">
        <v>237</v>
      </c>
      <c r="B82" s="116" t="str">
        <f t="shared" si="23"/>
        <v>[D] Heating &amp; Cooling Systems - Ground Source Heat PumpsMixed Use</v>
      </c>
      <c r="C82" s="117" t="s">
        <v>226</v>
      </c>
      <c r="D82" s="118" t="s">
        <v>120</v>
      </c>
      <c r="E82" s="119">
        <v>0.2</v>
      </c>
      <c r="F82" s="119">
        <v>0.3</v>
      </c>
      <c r="G82" s="119">
        <v>0.3</v>
      </c>
      <c r="H82" s="119">
        <v>0.75</v>
      </c>
      <c r="I82" s="119">
        <f t="shared" si="32"/>
        <v>0.52500000000000002</v>
      </c>
      <c r="J82" s="120">
        <v>0</v>
      </c>
      <c r="K82" s="120">
        <f>VLOOKUP(D82,'Existing Building EUI'!$B$7:$E$16,4,FALSE)</f>
        <v>322</v>
      </c>
      <c r="L82" s="120">
        <f>VLOOKUP(D82,'Existing Building EUI'!$B$7:$E$16,3,FALSE)*0.8</f>
        <v>214.4</v>
      </c>
      <c r="M82" s="158">
        <v>0</v>
      </c>
      <c r="N82" s="158">
        <v>0</v>
      </c>
      <c r="O82" s="159">
        <v>0</v>
      </c>
      <c r="P82" s="159">
        <v>0</v>
      </c>
      <c r="Q82" s="125">
        <v>0.7</v>
      </c>
      <c r="R82" s="119">
        <v>0.8</v>
      </c>
      <c r="S82" s="126">
        <f>Q82/-3</f>
        <v>-0.23333333333333331</v>
      </c>
      <c r="T82" s="126">
        <f>R82/-3</f>
        <v>-0.26666666666666666</v>
      </c>
      <c r="U82" s="121">
        <f t="shared" si="24"/>
        <v>0</v>
      </c>
      <c r="V82" s="121">
        <f t="shared" si="25"/>
        <v>0</v>
      </c>
      <c r="W82" s="121">
        <f t="shared" si="26"/>
        <v>322</v>
      </c>
      <c r="X82" s="121">
        <f t="shared" si="27"/>
        <v>322</v>
      </c>
      <c r="Y82" s="121">
        <f t="shared" si="28"/>
        <v>64.320000000000007</v>
      </c>
      <c r="Z82" s="121">
        <f t="shared" si="29"/>
        <v>42.879999999999988</v>
      </c>
      <c r="AA82" s="159">
        <f t="shared" si="30"/>
        <v>0.2797912005965697</v>
      </c>
      <c r="AB82" s="122">
        <f t="shared" si="31"/>
        <v>0.31976137211036537</v>
      </c>
    </row>
    <row r="83" spans="1:28" s="123" customFormat="1" ht="57" hidden="1" customHeight="1" x14ac:dyDescent="0.25">
      <c r="A83" s="161" t="s">
        <v>237</v>
      </c>
      <c r="B83" s="116" t="str">
        <f t="shared" si="23"/>
        <v>[D] Lighting and Lighting ControlsMixed Use</v>
      </c>
      <c r="C83" s="117" t="s">
        <v>253</v>
      </c>
      <c r="D83" s="118" t="s">
        <v>120</v>
      </c>
      <c r="E83" s="119">
        <v>0.01</v>
      </c>
      <c r="F83" s="119">
        <v>0.1</v>
      </c>
      <c r="G83" s="119">
        <v>0.01</v>
      </c>
      <c r="H83" s="119">
        <v>0.1</v>
      </c>
      <c r="I83" s="119">
        <f t="shared" si="32"/>
        <v>5.5E-2</v>
      </c>
      <c r="J83" s="120">
        <v>0</v>
      </c>
      <c r="K83" s="120">
        <f>VLOOKUP(D83,'Existing Building EUI'!$B$7:$E$16,4,FALSE)</f>
        <v>322</v>
      </c>
      <c r="L83" s="120">
        <f>VLOOKUP(D83,'Existing Building EUI'!$B$7:$E$16,3,FALSE)*0.8</f>
        <v>214.4</v>
      </c>
      <c r="M83" s="158">
        <v>0</v>
      </c>
      <c r="N83" s="119">
        <v>0</v>
      </c>
      <c r="O83" s="159">
        <v>0.01</v>
      </c>
      <c r="P83" s="159">
        <v>0.18</v>
      </c>
      <c r="Q83" s="119">
        <v>0</v>
      </c>
      <c r="R83" s="119">
        <v>0</v>
      </c>
      <c r="S83" s="119">
        <v>0</v>
      </c>
      <c r="T83" s="119">
        <v>0</v>
      </c>
      <c r="U83" s="121">
        <f t="shared" si="24"/>
        <v>0</v>
      </c>
      <c r="V83" s="121">
        <f t="shared" si="25"/>
        <v>0</v>
      </c>
      <c r="W83" s="121">
        <f t="shared" si="26"/>
        <v>318.77999999999997</v>
      </c>
      <c r="X83" s="121">
        <f t="shared" si="27"/>
        <v>264.04000000000002</v>
      </c>
      <c r="Y83" s="121">
        <f t="shared" si="28"/>
        <v>214.4</v>
      </c>
      <c r="Z83" s="121">
        <f t="shared" si="29"/>
        <v>214.4</v>
      </c>
      <c r="AA83" s="159">
        <f t="shared" si="30"/>
        <v>6.0029828486204834E-3</v>
      </c>
      <c r="AB83" s="122">
        <f t="shared" si="31"/>
        <v>0.10805369127516765</v>
      </c>
    </row>
    <row r="84" spans="1:28" s="123" customFormat="1" ht="57" hidden="1" customHeight="1" x14ac:dyDescent="0.25">
      <c r="A84" s="161" t="s">
        <v>237</v>
      </c>
      <c r="B84" s="116" t="str">
        <f t="shared" si="23"/>
        <v>[D] Renewables - Solar PVMixed Use</v>
      </c>
      <c r="C84" s="117" t="s">
        <v>249</v>
      </c>
      <c r="D84" s="118" t="s">
        <v>120</v>
      </c>
      <c r="E84" s="119">
        <v>0.01</v>
      </c>
      <c r="F84" s="119">
        <v>0.1</v>
      </c>
      <c r="G84" s="119">
        <v>0.01</v>
      </c>
      <c r="H84" s="119">
        <v>0.05</v>
      </c>
      <c r="I84" s="119">
        <f t="shared" si="32"/>
        <v>3.0000000000000002E-2</v>
      </c>
      <c r="J84" s="120">
        <v>0</v>
      </c>
      <c r="K84" s="120">
        <f>VLOOKUP(D84,'Existing Building EUI'!$B$7:$E$16,4,FALSE)</f>
        <v>322</v>
      </c>
      <c r="L84" s="120">
        <f>VLOOKUP(D84,'Existing Building EUI'!$B$7:$E$16,3,FALSE)*0.8</f>
        <v>214.4</v>
      </c>
      <c r="M84" s="158">
        <v>0</v>
      </c>
      <c r="N84" s="119">
        <v>0</v>
      </c>
      <c r="O84" s="159">
        <v>0.02</v>
      </c>
      <c r="P84" s="159">
        <v>0.18</v>
      </c>
      <c r="Q84" s="119">
        <v>0</v>
      </c>
      <c r="R84" s="119">
        <v>0</v>
      </c>
      <c r="S84" s="119">
        <v>0</v>
      </c>
      <c r="T84" s="119">
        <v>0</v>
      </c>
      <c r="U84" s="121">
        <f t="shared" si="24"/>
        <v>0</v>
      </c>
      <c r="V84" s="121">
        <f t="shared" si="25"/>
        <v>0</v>
      </c>
      <c r="W84" s="121">
        <f t="shared" si="26"/>
        <v>315.56</v>
      </c>
      <c r="X84" s="121">
        <f t="shared" si="27"/>
        <v>264.04000000000002</v>
      </c>
      <c r="Y84" s="121">
        <f t="shared" si="28"/>
        <v>214.4</v>
      </c>
      <c r="Z84" s="121">
        <f t="shared" si="29"/>
        <v>214.4</v>
      </c>
      <c r="AA84" s="159">
        <f t="shared" si="30"/>
        <v>1.2005965697240755E-2</v>
      </c>
      <c r="AB84" s="122">
        <f t="shared" si="31"/>
        <v>0.10805369127516765</v>
      </c>
    </row>
    <row r="85" spans="1:28" s="123" customFormat="1" ht="28.5" hidden="1" x14ac:dyDescent="0.25">
      <c r="A85" s="161" t="s">
        <v>237</v>
      </c>
      <c r="B85" s="116" t="str">
        <f t="shared" si="23"/>
        <v>[D] Renewables - Solar ThermalMixed Use</v>
      </c>
      <c r="C85" s="117" t="s">
        <v>242</v>
      </c>
      <c r="D85" s="118" t="s">
        <v>120</v>
      </c>
      <c r="E85" s="119">
        <v>0.01</v>
      </c>
      <c r="F85" s="119">
        <v>0.1</v>
      </c>
      <c r="G85" s="119">
        <v>0.01</v>
      </c>
      <c r="H85" s="119">
        <v>0.05</v>
      </c>
      <c r="I85" s="119">
        <f t="shared" si="32"/>
        <v>3.0000000000000002E-2</v>
      </c>
      <c r="J85" s="120">
        <v>0</v>
      </c>
      <c r="K85" s="120">
        <f>VLOOKUP(D85,'Existing Building EUI'!$B$7:$E$16,4,FALSE)</f>
        <v>322</v>
      </c>
      <c r="L85" s="120">
        <f>VLOOKUP(D85,'Existing Building EUI'!$B$7:$E$16,3,FALSE)*0.8</f>
        <v>214.4</v>
      </c>
      <c r="M85" s="158">
        <v>0</v>
      </c>
      <c r="N85" s="119">
        <v>0</v>
      </c>
      <c r="O85" s="159">
        <v>0</v>
      </c>
      <c r="P85" s="159">
        <v>0</v>
      </c>
      <c r="Q85" s="119">
        <v>0.02</v>
      </c>
      <c r="R85" s="119">
        <v>0.1</v>
      </c>
      <c r="S85" s="119">
        <v>0</v>
      </c>
      <c r="T85" s="119">
        <v>0</v>
      </c>
      <c r="U85" s="121">
        <f t="shared" si="24"/>
        <v>0</v>
      </c>
      <c r="V85" s="121">
        <f t="shared" si="25"/>
        <v>0</v>
      </c>
      <c r="W85" s="121">
        <f t="shared" si="26"/>
        <v>322</v>
      </c>
      <c r="X85" s="121">
        <f t="shared" si="27"/>
        <v>322</v>
      </c>
      <c r="Y85" s="121">
        <f t="shared" si="28"/>
        <v>210.11199999999999</v>
      </c>
      <c r="Z85" s="121">
        <f t="shared" si="29"/>
        <v>192.96</v>
      </c>
      <c r="AA85" s="159">
        <f t="shared" si="30"/>
        <v>7.9940343027591551E-3</v>
      </c>
      <c r="AB85" s="122">
        <f t="shared" si="31"/>
        <v>3.9970171513795567E-2</v>
      </c>
    </row>
    <row r="86" spans="1:28" s="123" customFormat="1" ht="42.75" hidden="1" x14ac:dyDescent="0.25">
      <c r="A86" s="161" t="s">
        <v>237</v>
      </c>
      <c r="B86" s="116" t="str">
        <f t="shared" si="23"/>
        <v>[D] Ventilation System - Energy Recovery Ventilators (ERV)Mixed Use</v>
      </c>
      <c r="C86" s="117" t="s">
        <v>250</v>
      </c>
      <c r="D86" s="118" t="s">
        <v>120</v>
      </c>
      <c r="E86" s="119">
        <v>0.01</v>
      </c>
      <c r="F86" s="119">
        <v>0.1</v>
      </c>
      <c r="G86" s="119">
        <v>0.01</v>
      </c>
      <c r="H86" s="119">
        <v>0.1</v>
      </c>
      <c r="I86" s="119">
        <f t="shared" si="32"/>
        <v>5.5E-2</v>
      </c>
      <c r="J86" s="120">
        <v>0</v>
      </c>
      <c r="K86" s="120">
        <f>VLOOKUP(D86,'Existing Building EUI'!$B$7:$E$16,4,FALSE)</f>
        <v>322</v>
      </c>
      <c r="L86" s="120">
        <f>VLOOKUP(D86,'Existing Building EUI'!$B$7:$E$16,3,FALSE)*0.8</f>
        <v>214.4</v>
      </c>
      <c r="M86" s="158">
        <v>0</v>
      </c>
      <c r="N86" s="119">
        <v>0</v>
      </c>
      <c r="O86" s="159">
        <v>0.01</v>
      </c>
      <c r="P86" s="159">
        <v>0.05</v>
      </c>
      <c r="Q86" s="119">
        <v>0.01</v>
      </c>
      <c r="R86" s="119">
        <v>0.05</v>
      </c>
      <c r="S86" s="126">
        <v>0</v>
      </c>
      <c r="T86" s="126">
        <v>0</v>
      </c>
      <c r="U86" s="121">
        <f t="shared" si="24"/>
        <v>0</v>
      </c>
      <c r="V86" s="121">
        <f t="shared" si="25"/>
        <v>0</v>
      </c>
      <c r="W86" s="121">
        <f t="shared" si="26"/>
        <v>318.77999999999997</v>
      </c>
      <c r="X86" s="121">
        <f t="shared" si="27"/>
        <v>305.89999999999998</v>
      </c>
      <c r="Y86" s="121">
        <f t="shared" si="28"/>
        <v>212.256</v>
      </c>
      <c r="Z86" s="121">
        <f t="shared" si="29"/>
        <v>203.68</v>
      </c>
      <c r="AA86" s="159">
        <f t="shared" si="30"/>
        <v>1.0000000000000061E-2</v>
      </c>
      <c r="AB86" s="122">
        <f t="shared" si="31"/>
        <v>4.9999999999999989E-2</v>
      </c>
    </row>
    <row r="87" spans="1:28" s="123" customFormat="1" ht="42.75" hidden="1" x14ac:dyDescent="0.25">
      <c r="A87" s="161" t="s">
        <v>237</v>
      </c>
      <c r="B87" s="116" t="str">
        <f t="shared" si="23"/>
        <v>[D] Appliance Upgrades &amp; Lighting and Lighting ControlsSingle Family Home Attached</v>
      </c>
      <c r="C87" s="117" t="s">
        <v>254</v>
      </c>
      <c r="D87" s="118" t="s">
        <v>128</v>
      </c>
      <c r="E87" s="119">
        <v>0.11</v>
      </c>
      <c r="F87" s="119">
        <v>0.2</v>
      </c>
      <c r="G87" s="119">
        <v>0.01</v>
      </c>
      <c r="H87" s="119">
        <v>0.1</v>
      </c>
      <c r="I87" s="119">
        <f t="shared" si="32"/>
        <v>5.5E-2</v>
      </c>
      <c r="J87" s="120">
        <v>0</v>
      </c>
      <c r="K87" s="120">
        <f>VLOOKUP(D87,'Existing Building EUI'!$B$7:$E$16,4,FALSE)</f>
        <v>43</v>
      </c>
      <c r="L87" s="120">
        <f>VLOOKUP(D87,'Existing Building EUI'!$B$7:$E$16,3,FALSE)*0.8</f>
        <v>117.60000000000001</v>
      </c>
      <c r="M87" s="158">
        <v>0</v>
      </c>
      <c r="N87" s="119">
        <v>0</v>
      </c>
      <c r="O87" s="159">
        <v>0.5</v>
      </c>
      <c r="P87" s="159">
        <v>0.7</v>
      </c>
      <c r="Q87" s="119">
        <v>0</v>
      </c>
      <c r="R87" s="119">
        <v>0</v>
      </c>
      <c r="S87" s="119">
        <v>0</v>
      </c>
      <c r="T87" s="119">
        <v>0</v>
      </c>
      <c r="U87" s="121">
        <f t="shared" si="24"/>
        <v>0</v>
      </c>
      <c r="V87" s="121">
        <f t="shared" si="25"/>
        <v>0</v>
      </c>
      <c r="W87" s="121">
        <f t="shared" si="26"/>
        <v>21.5</v>
      </c>
      <c r="X87" s="121">
        <f t="shared" si="27"/>
        <v>12.900000000000002</v>
      </c>
      <c r="Y87" s="121">
        <f t="shared" si="28"/>
        <v>117.60000000000001</v>
      </c>
      <c r="Z87" s="121">
        <f t="shared" si="29"/>
        <v>117.60000000000001</v>
      </c>
      <c r="AA87" s="159">
        <f t="shared" si="30"/>
        <v>0.13387297633872974</v>
      </c>
      <c r="AB87" s="122">
        <f t="shared" si="31"/>
        <v>0.18742216687422178</v>
      </c>
    </row>
    <row r="88" spans="1:28" s="123" customFormat="1" ht="57" hidden="1" customHeight="1" x14ac:dyDescent="0.25">
      <c r="A88" s="161" t="s">
        <v>237</v>
      </c>
      <c r="B88" s="116" t="str">
        <f t="shared" si="23"/>
        <v>[D] Building Envelope - High Performance Glazing with Enhanced Air SealingSingle Family Home Attached</v>
      </c>
      <c r="C88" s="117" t="s">
        <v>239</v>
      </c>
      <c r="D88" s="118" t="s">
        <v>128</v>
      </c>
      <c r="E88" s="119">
        <v>0.01</v>
      </c>
      <c r="F88" s="119">
        <v>0.1</v>
      </c>
      <c r="G88" s="119">
        <v>0.01</v>
      </c>
      <c r="H88" s="119">
        <v>0.1</v>
      </c>
      <c r="I88" s="119">
        <f t="shared" si="32"/>
        <v>5.5E-2</v>
      </c>
      <c r="J88" s="120">
        <v>0</v>
      </c>
      <c r="K88" s="120">
        <f>VLOOKUP(D88,'Existing Building EUI'!$B$7:$E$16,4,FALSE)</f>
        <v>43</v>
      </c>
      <c r="L88" s="120">
        <f>VLOOKUP(D88,'Existing Building EUI'!$B$7:$E$16,3,FALSE)*0.8</f>
        <v>117.60000000000001</v>
      </c>
      <c r="M88" s="158">
        <v>0</v>
      </c>
      <c r="N88" s="158">
        <v>0</v>
      </c>
      <c r="O88" s="158">
        <v>0.01</v>
      </c>
      <c r="P88" s="159">
        <v>0.08</v>
      </c>
      <c r="Q88" s="158">
        <v>0.01</v>
      </c>
      <c r="R88" s="119">
        <v>0.11</v>
      </c>
      <c r="S88" s="119">
        <v>0</v>
      </c>
      <c r="T88" s="119">
        <v>0</v>
      </c>
      <c r="U88" s="121">
        <f t="shared" si="24"/>
        <v>0</v>
      </c>
      <c r="V88" s="121">
        <f t="shared" si="25"/>
        <v>0</v>
      </c>
      <c r="W88" s="121">
        <f t="shared" si="26"/>
        <v>42.57</v>
      </c>
      <c r="X88" s="121">
        <f t="shared" si="27"/>
        <v>39.56</v>
      </c>
      <c r="Y88" s="121">
        <f t="shared" si="28"/>
        <v>116.42400000000001</v>
      </c>
      <c r="Z88" s="121">
        <f t="shared" si="29"/>
        <v>104.66400000000002</v>
      </c>
      <c r="AA88" s="159">
        <f t="shared" si="30"/>
        <v>1.0000000000000141E-2</v>
      </c>
      <c r="AB88" s="122">
        <f t="shared" si="31"/>
        <v>0.10196762141967623</v>
      </c>
    </row>
    <row r="89" spans="1:28" s="123" customFormat="1" ht="57" hidden="1" x14ac:dyDescent="0.25">
      <c r="A89" s="161" t="s">
        <v>237</v>
      </c>
      <c r="B89" s="116" t="str">
        <f t="shared" si="23"/>
        <v>[D] Building Envelope - High Performance Glazing, Wall Insulation, &amp; Roof InsulationSingle Family Home Attached</v>
      </c>
      <c r="C89" s="117" t="s">
        <v>240</v>
      </c>
      <c r="D89" s="118" t="s">
        <v>128</v>
      </c>
      <c r="E89" s="119">
        <v>0.11</v>
      </c>
      <c r="F89" s="119">
        <v>0.2</v>
      </c>
      <c r="G89" s="119">
        <v>0.11</v>
      </c>
      <c r="H89" s="119">
        <v>0.2</v>
      </c>
      <c r="I89" s="119">
        <f t="shared" si="32"/>
        <v>0.155</v>
      </c>
      <c r="J89" s="120">
        <v>0</v>
      </c>
      <c r="K89" s="120">
        <f>VLOOKUP(D89,'Existing Building EUI'!$B$7:$E$16,4,FALSE)</f>
        <v>43</v>
      </c>
      <c r="L89" s="120">
        <f>VLOOKUP(D89,'Existing Building EUI'!$B$7:$E$16,3,FALSE)*0.8</f>
        <v>117.60000000000001</v>
      </c>
      <c r="M89" s="158">
        <v>0</v>
      </c>
      <c r="N89" s="158">
        <v>0</v>
      </c>
      <c r="O89" s="159">
        <v>0.08</v>
      </c>
      <c r="P89" s="159">
        <v>0.15</v>
      </c>
      <c r="Q89" s="158">
        <v>0.12</v>
      </c>
      <c r="R89" s="119">
        <v>0.2</v>
      </c>
      <c r="S89" s="119">
        <v>0</v>
      </c>
      <c r="T89" s="119">
        <v>0</v>
      </c>
      <c r="U89" s="121">
        <f t="shared" si="24"/>
        <v>0</v>
      </c>
      <c r="V89" s="121">
        <f t="shared" si="25"/>
        <v>0</v>
      </c>
      <c r="W89" s="121">
        <f t="shared" si="26"/>
        <v>39.56</v>
      </c>
      <c r="X89" s="121">
        <f t="shared" si="27"/>
        <v>36.549999999999997</v>
      </c>
      <c r="Y89" s="121">
        <f t="shared" si="28"/>
        <v>103.48800000000001</v>
      </c>
      <c r="Z89" s="121">
        <f t="shared" si="29"/>
        <v>94.080000000000013</v>
      </c>
      <c r="AA89" s="159">
        <f t="shared" si="30"/>
        <v>0.10929016189290174</v>
      </c>
      <c r="AB89" s="122">
        <f t="shared" si="31"/>
        <v>0.18661270236612718</v>
      </c>
    </row>
    <row r="90" spans="1:28" s="123" customFormat="1" ht="42.75" x14ac:dyDescent="0.25">
      <c r="A90" s="161" t="s">
        <v>237</v>
      </c>
      <c r="B90" s="116" t="str">
        <f t="shared" si="23"/>
        <v>[D] Domestic Hot Water - Low Carbon District Energy SystemSingle Family Home Attached</v>
      </c>
      <c r="C90" s="117" t="s">
        <v>278</v>
      </c>
      <c r="D90" s="124" t="s">
        <v>128</v>
      </c>
      <c r="E90" s="119">
        <v>0.2</v>
      </c>
      <c r="F90" s="119">
        <v>0.3</v>
      </c>
      <c r="G90" s="119">
        <v>0.3</v>
      </c>
      <c r="H90" s="119">
        <v>0.75</v>
      </c>
      <c r="I90" s="119">
        <f t="shared" si="32"/>
        <v>0.52500000000000002</v>
      </c>
      <c r="J90" s="120">
        <v>0</v>
      </c>
      <c r="K90" s="120">
        <f>VLOOKUP(D90,'Existing Building EUI'!$B$7:$E$16,4,FALSE)</f>
        <v>43</v>
      </c>
      <c r="L90" s="120">
        <f>VLOOKUP(D90,'Existing Building EUI'!$B$7:$E$16,3,FALSE)*0.8</f>
        <v>117.60000000000001</v>
      </c>
      <c r="M90" s="158">
        <v>0</v>
      </c>
      <c r="N90" s="158">
        <v>0</v>
      </c>
      <c r="O90" s="159">
        <v>0</v>
      </c>
      <c r="P90" s="159">
        <v>0</v>
      </c>
      <c r="Q90" s="119">
        <v>0</v>
      </c>
      <c r="R90" s="119">
        <v>0</v>
      </c>
      <c r="S90" s="119">
        <v>0</v>
      </c>
      <c r="T90" s="119">
        <v>0</v>
      </c>
      <c r="U90" s="121">
        <f t="shared" si="24"/>
        <v>0</v>
      </c>
      <c r="V90" s="121">
        <f t="shared" si="25"/>
        <v>0</v>
      </c>
      <c r="W90" s="121">
        <f t="shared" si="26"/>
        <v>43</v>
      </c>
      <c r="X90" s="121">
        <f t="shared" si="27"/>
        <v>43</v>
      </c>
      <c r="Y90" s="121">
        <f t="shared" si="28"/>
        <v>117.60000000000001</v>
      </c>
      <c r="Z90" s="121">
        <f t="shared" si="29"/>
        <v>117.60000000000001</v>
      </c>
      <c r="AA90" s="159">
        <f t="shared" si="30"/>
        <v>0</v>
      </c>
      <c r="AB90" s="122">
        <f t="shared" si="31"/>
        <v>0</v>
      </c>
    </row>
    <row r="91" spans="1:28" s="123" customFormat="1" ht="42.75" x14ac:dyDescent="0.25">
      <c r="A91" s="161" t="s">
        <v>237</v>
      </c>
      <c r="B91" s="116" t="str">
        <f t="shared" si="23"/>
        <v>[D] Domestic Hot Water - Electric Water HeaterSingle Family Home Attached</v>
      </c>
      <c r="C91" s="117" t="s">
        <v>233</v>
      </c>
      <c r="D91" s="124" t="s">
        <v>128</v>
      </c>
      <c r="E91" s="119">
        <v>0.2</v>
      </c>
      <c r="F91" s="119">
        <v>0.3</v>
      </c>
      <c r="G91" s="119">
        <v>0.3</v>
      </c>
      <c r="H91" s="119">
        <v>0.75</v>
      </c>
      <c r="I91" s="119">
        <f t="shared" si="32"/>
        <v>0.52500000000000002</v>
      </c>
      <c r="J91" s="120">
        <v>0</v>
      </c>
      <c r="K91" s="120">
        <f>VLOOKUP(D91,'Existing Building EUI'!$B$7:$E$16,4,FALSE)</f>
        <v>43</v>
      </c>
      <c r="L91" s="120">
        <f>VLOOKUP(D91,'Existing Building EUI'!$B$7:$E$16,3,FALSE)*0.8</f>
        <v>117.60000000000001</v>
      </c>
      <c r="M91" s="158">
        <v>0</v>
      </c>
      <c r="N91" s="158">
        <v>0</v>
      </c>
      <c r="O91" s="159">
        <v>0</v>
      </c>
      <c r="P91" s="159">
        <v>0</v>
      </c>
      <c r="Q91" s="125">
        <v>0.2</v>
      </c>
      <c r="R91" s="119">
        <v>0.3</v>
      </c>
      <c r="S91" s="125">
        <f>Q91/-1</f>
        <v>-0.2</v>
      </c>
      <c r="T91" s="125">
        <f>R91/-1</f>
        <v>-0.3</v>
      </c>
      <c r="U91" s="121">
        <f t="shared" si="24"/>
        <v>0</v>
      </c>
      <c r="V91" s="121">
        <f t="shared" si="25"/>
        <v>0</v>
      </c>
      <c r="W91" s="121">
        <f t="shared" si="26"/>
        <v>43</v>
      </c>
      <c r="X91" s="121">
        <f t="shared" si="27"/>
        <v>43</v>
      </c>
      <c r="Y91" s="121">
        <f t="shared" si="28"/>
        <v>94.080000000000013</v>
      </c>
      <c r="Z91" s="121">
        <f t="shared" si="29"/>
        <v>82.320000000000007</v>
      </c>
      <c r="AA91" s="159">
        <f t="shared" si="30"/>
        <v>0.14645080946450814</v>
      </c>
      <c r="AB91" s="122">
        <f t="shared" si="31"/>
        <v>0.2196762141967622</v>
      </c>
    </row>
    <row r="92" spans="1:28" s="123" customFormat="1" ht="57" hidden="1" customHeight="1" x14ac:dyDescent="0.25">
      <c r="A92" s="161" t="s">
        <v>237</v>
      </c>
      <c r="B92" s="116" t="str">
        <f t="shared" si="23"/>
        <v>[D] Gas Appliances - Electric and Induction Ranges &amp; Heat Pump Electric DryersSingle Family Home Attached</v>
      </c>
      <c r="C92" s="117" t="s">
        <v>244</v>
      </c>
      <c r="D92" s="118" t="s">
        <v>128</v>
      </c>
      <c r="E92" s="119">
        <v>0.01</v>
      </c>
      <c r="F92" s="119">
        <v>0.1</v>
      </c>
      <c r="G92" s="119">
        <v>0.05</v>
      </c>
      <c r="H92" s="119">
        <v>0.2</v>
      </c>
      <c r="I92" s="119">
        <f t="shared" si="32"/>
        <v>0.125</v>
      </c>
      <c r="J92" s="120">
        <v>0</v>
      </c>
      <c r="K92" s="120">
        <f>VLOOKUP(D92,'Existing Building EUI'!$B$7:$E$16,4,FALSE)</f>
        <v>43</v>
      </c>
      <c r="L92" s="120">
        <f>VLOOKUP(D92,'Existing Building EUI'!$B$7:$E$16,3,FALSE)*0.8</f>
        <v>117.60000000000001</v>
      </c>
      <c r="M92" s="158">
        <v>1</v>
      </c>
      <c r="N92" s="119">
        <v>1</v>
      </c>
      <c r="O92" s="159">
        <v>0</v>
      </c>
      <c r="P92" s="159">
        <v>0</v>
      </c>
      <c r="Q92" s="119">
        <v>0</v>
      </c>
      <c r="R92" s="119">
        <v>0</v>
      </c>
      <c r="S92" s="126">
        <f>(M92*0.02)/-2</f>
        <v>-0.01</v>
      </c>
      <c r="T92" s="126">
        <f>(N92*0.15)/-2</f>
        <v>-7.4999999999999997E-2</v>
      </c>
      <c r="U92" s="121">
        <f t="shared" si="24"/>
        <v>0</v>
      </c>
      <c r="V92" s="121">
        <f t="shared" si="25"/>
        <v>0</v>
      </c>
      <c r="W92" s="121">
        <f t="shared" si="26"/>
        <v>43</v>
      </c>
      <c r="X92" s="121">
        <f t="shared" si="27"/>
        <v>43</v>
      </c>
      <c r="Y92" s="121">
        <f t="shared" si="28"/>
        <v>117.60000000000001</v>
      </c>
      <c r="Z92" s="121">
        <f t="shared" si="29"/>
        <v>117.60000000000001</v>
      </c>
      <c r="AA92" s="159">
        <f t="shared" si="30"/>
        <v>0</v>
      </c>
      <c r="AB92" s="122">
        <f t="shared" si="31"/>
        <v>0</v>
      </c>
    </row>
    <row r="93" spans="1:28" s="123" customFormat="1" ht="57" hidden="1" customHeight="1" x14ac:dyDescent="0.25">
      <c r="A93" s="161" t="s">
        <v>237</v>
      </c>
      <c r="B93" s="116" t="str">
        <f t="shared" si="23"/>
        <v>[D] Heating &amp; Cooling Systems - Air Source Heat PumpsSingle Family Home Attached</v>
      </c>
      <c r="C93" s="117" t="s">
        <v>225</v>
      </c>
      <c r="D93" s="124" t="s">
        <v>128</v>
      </c>
      <c r="E93" s="119">
        <v>0.2</v>
      </c>
      <c r="F93" s="119">
        <v>0.3</v>
      </c>
      <c r="G93" s="119">
        <v>0.3</v>
      </c>
      <c r="H93" s="119">
        <v>0.75</v>
      </c>
      <c r="I93" s="119">
        <f t="shared" si="32"/>
        <v>0.52500000000000002</v>
      </c>
      <c r="J93" s="120">
        <v>0</v>
      </c>
      <c r="K93" s="120">
        <f>VLOOKUP(D93,'Existing Building EUI'!$B$7:$E$16,4,FALSE)</f>
        <v>43</v>
      </c>
      <c r="L93" s="120">
        <f>VLOOKUP(D93,'Existing Building EUI'!$B$7:$E$16,3,FALSE)*0.8</f>
        <v>117.60000000000001</v>
      </c>
      <c r="M93" s="158">
        <v>0</v>
      </c>
      <c r="N93" s="158">
        <v>0</v>
      </c>
      <c r="O93" s="159">
        <v>0</v>
      </c>
      <c r="P93" s="159">
        <v>0</v>
      </c>
      <c r="Q93" s="125">
        <v>0.6</v>
      </c>
      <c r="R93" s="119">
        <v>0.8</v>
      </c>
      <c r="S93" s="125">
        <f>Q93/-2</f>
        <v>-0.3</v>
      </c>
      <c r="T93" s="125">
        <f>R93/-2</f>
        <v>-0.4</v>
      </c>
      <c r="U93" s="121">
        <f t="shared" si="24"/>
        <v>0</v>
      </c>
      <c r="V93" s="121">
        <f t="shared" si="25"/>
        <v>0</v>
      </c>
      <c r="W93" s="121">
        <f t="shared" si="26"/>
        <v>43</v>
      </c>
      <c r="X93" s="121">
        <f t="shared" si="27"/>
        <v>43</v>
      </c>
      <c r="Y93" s="121">
        <f t="shared" si="28"/>
        <v>47.040000000000006</v>
      </c>
      <c r="Z93" s="121">
        <f t="shared" si="29"/>
        <v>23.519999999999996</v>
      </c>
      <c r="AA93" s="159">
        <f t="shared" si="30"/>
        <v>0.43935242839352434</v>
      </c>
      <c r="AB93" s="122">
        <f t="shared" si="31"/>
        <v>0.58580323785803246</v>
      </c>
    </row>
    <row r="94" spans="1:28" s="123" customFormat="1" ht="57" hidden="1" customHeight="1" x14ac:dyDescent="0.25">
      <c r="A94" s="161" t="s">
        <v>237</v>
      </c>
      <c r="B94" s="116" t="str">
        <f t="shared" si="23"/>
        <v>[D] Heating &amp; Cooling Systems - Low Carbon District Energy SystemSingle Family Home Attached</v>
      </c>
      <c r="C94" s="117" t="s">
        <v>279</v>
      </c>
      <c r="D94" s="124" t="s">
        <v>128</v>
      </c>
      <c r="E94" s="119">
        <v>0.2</v>
      </c>
      <c r="F94" s="119">
        <v>0.3</v>
      </c>
      <c r="G94" s="119">
        <v>0.3</v>
      </c>
      <c r="H94" s="119">
        <v>0.75</v>
      </c>
      <c r="I94" s="119">
        <f t="shared" si="32"/>
        <v>0.52500000000000002</v>
      </c>
      <c r="J94" s="120">
        <v>0</v>
      </c>
      <c r="K94" s="120">
        <f>VLOOKUP(D94,'Existing Building EUI'!$B$7:$E$16,4,FALSE)</f>
        <v>43</v>
      </c>
      <c r="L94" s="120">
        <f>VLOOKUP(D94,'Existing Building EUI'!$B$7:$E$16,3,FALSE)*0.8</f>
        <v>117.60000000000001</v>
      </c>
      <c r="M94" s="158">
        <v>0</v>
      </c>
      <c r="N94" s="158">
        <v>0</v>
      </c>
      <c r="O94" s="159">
        <v>0</v>
      </c>
      <c r="P94" s="159">
        <v>0</v>
      </c>
      <c r="Q94" s="119">
        <v>0</v>
      </c>
      <c r="R94" s="119">
        <v>0</v>
      </c>
      <c r="S94" s="119">
        <v>0</v>
      </c>
      <c r="T94" s="119">
        <v>0</v>
      </c>
      <c r="U94" s="121">
        <f t="shared" si="24"/>
        <v>0</v>
      </c>
      <c r="V94" s="121">
        <f t="shared" si="25"/>
        <v>0</v>
      </c>
      <c r="W94" s="121">
        <f t="shared" si="26"/>
        <v>43</v>
      </c>
      <c r="X94" s="121">
        <f t="shared" si="27"/>
        <v>43</v>
      </c>
      <c r="Y94" s="121">
        <f t="shared" si="28"/>
        <v>117.60000000000001</v>
      </c>
      <c r="Z94" s="121">
        <f t="shared" si="29"/>
        <v>117.60000000000001</v>
      </c>
      <c r="AA94" s="159">
        <f t="shared" si="30"/>
        <v>0</v>
      </c>
      <c r="AB94" s="122">
        <f t="shared" si="31"/>
        <v>0</v>
      </c>
    </row>
    <row r="95" spans="1:28" s="123" customFormat="1" ht="57" hidden="1" customHeight="1" x14ac:dyDescent="0.25">
      <c r="A95" s="161" t="s">
        <v>237</v>
      </c>
      <c r="B95" s="116" t="str">
        <f t="shared" si="23"/>
        <v>[D] Heating &amp; Cooling Systems - Ground Source Heat PumpsSingle Family Home Attached</v>
      </c>
      <c r="C95" s="117" t="s">
        <v>226</v>
      </c>
      <c r="D95" s="124" t="s">
        <v>128</v>
      </c>
      <c r="E95" s="119">
        <v>0.2</v>
      </c>
      <c r="F95" s="119">
        <v>0.3</v>
      </c>
      <c r="G95" s="119">
        <v>0.3</v>
      </c>
      <c r="H95" s="119">
        <v>0.75</v>
      </c>
      <c r="I95" s="119">
        <f t="shared" si="32"/>
        <v>0.52500000000000002</v>
      </c>
      <c r="J95" s="120">
        <v>0</v>
      </c>
      <c r="K95" s="120">
        <f>VLOOKUP(D95,'Existing Building EUI'!$B$7:$E$16,4,FALSE)</f>
        <v>43</v>
      </c>
      <c r="L95" s="120">
        <f>VLOOKUP(D95,'Existing Building EUI'!$B$7:$E$16,3,FALSE)*0.8</f>
        <v>117.60000000000001</v>
      </c>
      <c r="M95" s="158">
        <v>0</v>
      </c>
      <c r="N95" s="158">
        <v>0</v>
      </c>
      <c r="O95" s="159">
        <v>0</v>
      </c>
      <c r="P95" s="159">
        <v>0</v>
      </c>
      <c r="Q95" s="125">
        <v>0.6</v>
      </c>
      <c r="R95" s="119">
        <v>0.8</v>
      </c>
      <c r="S95" s="126">
        <f>Q95/-3</f>
        <v>-0.19999999999999998</v>
      </c>
      <c r="T95" s="126">
        <f>R95/-3</f>
        <v>-0.26666666666666666</v>
      </c>
      <c r="U95" s="121">
        <f t="shared" si="24"/>
        <v>0</v>
      </c>
      <c r="V95" s="121">
        <f t="shared" si="25"/>
        <v>0</v>
      </c>
      <c r="W95" s="121">
        <f t="shared" si="26"/>
        <v>43</v>
      </c>
      <c r="X95" s="121">
        <f t="shared" si="27"/>
        <v>43</v>
      </c>
      <c r="Y95" s="121">
        <f t="shared" si="28"/>
        <v>47.040000000000006</v>
      </c>
      <c r="Z95" s="121">
        <f t="shared" si="29"/>
        <v>23.519999999999996</v>
      </c>
      <c r="AA95" s="159">
        <f t="shared" si="30"/>
        <v>0.43935242839352434</v>
      </c>
      <c r="AB95" s="122">
        <f t="shared" si="31"/>
        <v>0.58580323785803246</v>
      </c>
    </row>
    <row r="96" spans="1:28" s="123" customFormat="1" ht="41.25" hidden="1" customHeight="1" x14ac:dyDescent="0.25">
      <c r="A96" s="161" t="s">
        <v>237</v>
      </c>
      <c r="B96" s="116" t="str">
        <f t="shared" si="23"/>
        <v>[D] Renewables - Solar PVSingle Family Home Attached</v>
      </c>
      <c r="C96" s="117" t="s">
        <v>249</v>
      </c>
      <c r="D96" s="118" t="s">
        <v>128</v>
      </c>
      <c r="E96" s="119">
        <v>0.01</v>
      </c>
      <c r="F96" s="119">
        <v>0.1</v>
      </c>
      <c r="G96" s="119">
        <v>0.01</v>
      </c>
      <c r="H96" s="119">
        <v>0.05</v>
      </c>
      <c r="I96" s="119">
        <f t="shared" si="32"/>
        <v>3.0000000000000002E-2</v>
      </c>
      <c r="J96" s="120">
        <v>0</v>
      </c>
      <c r="K96" s="120">
        <f>VLOOKUP(D96,'Existing Building EUI'!$B$7:$E$16,4,FALSE)</f>
        <v>43</v>
      </c>
      <c r="L96" s="120">
        <f>VLOOKUP(D96,'Existing Building EUI'!$B$7:$E$16,3,FALSE)*0.8</f>
        <v>117.60000000000001</v>
      </c>
      <c r="M96" s="158">
        <v>0</v>
      </c>
      <c r="N96" s="119">
        <v>0</v>
      </c>
      <c r="O96" s="159">
        <v>0.03</v>
      </c>
      <c r="P96" s="159">
        <v>0.4</v>
      </c>
      <c r="Q96" s="119">
        <v>0</v>
      </c>
      <c r="R96" s="119">
        <v>0</v>
      </c>
      <c r="S96" s="119">
        <v>0</v>
      </c>
      <c r="T96" s="119">
        <v>0</v>
      </c>
      <c r="U96" s="121">
        <f t="shared" si="24"/>
        <v>0</v>
      </c>
      <c r="V96" s="121">
        <f t="shared" si="25"/>
        <v>0</v>
      </c>
      <c r="W96" s="121">
        <f t="shared" si="26"/>
        <v>41.71</v>
      </c>
      <c r="X96" s="121">
        <f t="shared" si="27"/>
        <v>25.8</v>
      </c>
      <c r="Y96" s="121">
        <f t="shared" si="28"/>
        <v>117.60000000000001</v>
      </c>
      <c r="Z96" s="121">
        <f t="shared" si="29"/>
        <v>117.60000000000001</v>
      </c>
      <c r="AA96" s="159">
        <f t="shared" si="30"/>
        <v>8.0323785803239119E-3</v>
      </c>
      <c r="AB96" s="122">
        <f t="shared" si="31"/>
        <v>0.10709838107098391</v>
      </c>
    </row>
    <row r="97" spans="1:28" s="123" customFormat="1" ht="28.5" hidden="1" customHeight="1" x14ac:dyDescent="0.25">
      <c r="A97" s="161" t="s">
        <v>237</v>
      </c>
      <c r="B97" s="116" t="str">
        <f t="shared" si="23"/>
        <v>[D] Renewables - Solar ThermalSingle Family Home Attached</v>
      </c>
      <c r="C97" s="117" t="s">
        <v>242</v>
      </c>
      <c r="D97" s="118" t="s">
        <v>128</v>
      </c>
      <c r="E97" s="119">
        <v>0.05</v>
      </c>
      <c r="F97" s="119">
        <v>0.15</v>
      </c>
      <c r="G97" s="119">
        <v>0.1</v>
      </c>
      <c r="H97" s="119">
        <v>0.2</v>
      </c>
      <c r="I97" s="119">
        <f t="shared" si="32"/>
        <v>0.15000000000000002</v>
      </c>
      <c r="J97" s="120">
        <v>0</v>
      </c>
      <c r="K97" s="120">
        <f>VLOOKUP(D97,'Existing Building EUI'!$B$7:$E$16,4,FALSE)</f>
        <v>43</v>
      </c>
      <c r="L97" s="120">
        <f>VLOOKUP(D97,'Existing Building EUI'!$B$7:$E$16,3,FALSE)*0.8</f>
        <v>117.60000000000001</v>
      </c>
      <c r="M97" s="158">
        <v>0</v>
      </c>
      <c r="N97" s="119">
        <v>0</v>
      </c>
      <c r="O97" s="159">
        <v>0</v>
      </c>
      <c r="P97" s="159">
        <v>0</v>
      </c>
      <c r="Q97" s="119">
        <v>7.0000000000000007E-2</v>
      </c>
      <c r="R97" s="119">
        <v>0.2</v>
      </c>
      <c r="S97" s="119">
        <v>0</v>
      </c>
      <c r="T97" s="119">
        <v>0</v>
      </c>
      <c r="U97" s="121">
        <f t="shared" si="24"/>
        <v>0</v>
      </c>
      <c r="V97" s="121">
        <f t="shared" si="25"/>
        <v>0</v>
      </c>
      <c r="W97" s="121">
        <f t="shared" si="26"/>
        <v>43</v>
      </c>
      <c r="X97" s="121">
        <f t="shared" si="27"/>
        <v>43</v>
      </c>
      <c r="Y97" s="121">
        <f t="shared" si="28"/>
        <v>109.36799999999999</v>
      </c>
      <c r="Z97" s="121">
        <f t="shared" si="29"/>
        <v>94.080000000000013</v>
      </c>
      <c r="AA97" s="159">
        <f t="shared" si="30"/>
        <v>5.1257783312577999E-2</v>
      </c>
      <c r="AB97" s="122">
        <f t="shared" si="31"/>
        <v>0.14645080946450814</v>
      </c>
    </row>
    <row r="98" spans="1:28" s="123" customFormat="1" ht="42.75" hidden="1" x14ac:dyDescent="0.25">
      <c r="A98" s="161" t="s">
        <v>237</v>
      </c>
      <c r="B98" s="116" t="str">
        <f t="shared" si="23"/>
        <v>[D] Ventilation System - Central Energy Recovery Ventilator (ERV)Single Family Home Attached</v>
      </c>
      <c r="C98" s="117" t="s">
        <v>247</v>
      </c>
      <c r="D98" s="118" t="s">
        <v>128</v>
      </c>
      <c r="E98" s="119">
        <v>0.01</v>
      </c>
      <c r="F98" s="119">
        <v>0.05</v>
      </c>
      <c r="G98" s="119">
        <v>0.01</v>
      </c>
      <c r="H98" s="119">
        <v>0.05</v>
      </c>
      <c r="I98" s="119">
        <f t="shared" si="32"/>
        <v>3.0000000000000002E-2</v>
      </c>
      <c r="J98" s="120">
        <v>0</v>
      </c>
      <c r="K98" s="120">
        <f>VLOOKUP(D98,'Existing Building EUI'!$B$7:$E$16,4,FALSE)</f>
        <v>43</v>
      </c>
      <c r="L98" s="120">
        <f>VLOOKUP(D98,'Existing Building EUI'!$B$7:$E$16,3,FALSE)*0.8</f>
        <v>117.60000000000001</v>
      </c>
      <c r="M98" s="158">
        <v>0</v>
      </c>
      <c r="N98" s="119">
        <v>0</v>
      </c>
      <c r="O98" s="159">
        <v>0.01</v>
      </c>
      <c r="P98" s="159">
        <v>0.05</v>
      </c>
      <c r="Q98" s="119">
        <v>0.01</v>
      </c>
      <c r="R98" s="119">
        <v>0.05</v>
      </c>
      <c r="S98" s="126">
        <v>0</v>
      </c>
      <c r="T98" s="126">
        <v>0</v>
      </c>
      <c r="U98" s="121">
        <f t="shared" si="24"/>
        <v>0</v>
      </c>
      <c r="V98" s="121">
        <f t="shared" si="25"/>
        <v>0</v>
      </c>
      <c r="W98" s="121">
        <f t="shared" si="26"/>
        <v>42.57</v>
      </c>
      <c r="X98" s="121">
        <f t="shared" si="27"/>
        <v>40.85</v>
      </c>
      <c r="Y98" s="121">
        <f t="shared" si="28"/>
        <v>116.42400000000001</v>
      </c>
      <c r="Z98" s="121">
        <f t="shared" si="29"/>
        <v>111.72</v>
      </c>
      <c r="AA98" s="159">
        <f t="shared" si="30"/>
        <v>1.0000000000000141E-2</v>
      </c>
      <c r="AB98" s="122">
        <f t="shared" si="31"/>
        <v>5.0000000000000176E-2</v>
      </c>
    </row>
    <row r="99" spans="1:28" s="123" customFormat="1" ht="42.75" hidden="1" x14ac:dyDescent="0.25">
      <c r="A99" s="161" t="s">
        <v>237</v>
      </c>
      <c r="B99" s="116" t="str">
        <f t="shared" si="23"/>
        <v>[D] Ventilation System - Local Energy Recovery Ventilator (ERV)Single Family Home Attached</v>
      </c>
      <c r="C99" s="117" t="s">
        <v>248</v>
      </c>
      <c r="D99" s="118" t="s">
        <v>128</v>
      </c>
      <c r="E99" s="119">
        <v>0.01</v>
      </c>
      <c r="F99" s="119">
        <v>0.05</v>
      </c>
      <c r="G99" s="119">
        <v>0.01</v>
      </c>
      <c r="H99" s="119">
        <v>0.05</v>
      </c>
      <c r="I99" s="119">
        <f t="shared" si="32"/>
        <v>3.0000000000000002E-2</v>
      </c>
      <c r="J99" s="120">
        <v>0</v>
      </c>
      <c r="K99" s="120">
        <f>VLOOKUP(D99,'Existing Building EUI'!$B$7:$E$16,4,FALSE)</f>
        <v>43</v>
      </c>
      <c r="L99" s="120">
        <f>VLOOKUP(D99,'Existing Building EUI'!$B$7:$E$16,3,FALSE)*0.8</f>
        <v>117.60000000000001</v>
      </c>
      <c r="M99" s="158">
        <v>0</v>
      </c>
      <c r="N99" s="119">
        <v>0</v>
      </c>
      <c r="O99" s="159">
        <v>0.01</v>
      </c>
      <c r="P99" s="159">
        <v>0.05</v>
      </c>
      <c r="Q99" s="119">
        <v>0.01</v>
      </c>
      <c r="R99" s="119">
        <v>0.05</v>
      </c>
      <c r="S99" s="126">
        <v>0</v>
      </c>
      <c r="T99" s="126">
        <v>0</v>
      </c>
      <c r="U99" s="121">
        <f t="shared" si="24"/>
        <v>0</v>
      </c>
      <c r="V99" s="121">
        <f t="shared" si="25"/>
        <v>0</v>
      </c>
      <c r="W99" s="121">
        <f t="shared" si="26"/>
        <v>42.57</v>
      </c>
      <c r="X99" s="121">
        <f t="shared" si="27"/>
        <v>40.85</v>
      </c>
      <c r="Y99" s="121">
        <f t="shared" si="28"/>
        <v>116.42400000000001</v>
      </c>
      <c r="Z99" s="121">
        <f t="shared" si="29"/>
        <v>111.72</v>
      </c>
      <c r="AA99" s="159">
        <f t="shared" si="30"/>
        <v>1.0000000000000141E-2</v>
      </c>
      <c r="AB99" s="122">
        <f t="shared" si="31"/>
        <v>5.0000000000000176E-2</v>
      </c>
    </row>
    <row r="100" spans="1:28" s="123" customFormat="1" ht="42.75" hidden="1" x14ac:dyDescent="0.25">
      <c r="A100" s="161" t="s">
        <v>237</v>
      </c>
      <c r="B100" s="116" t="str">
        <f t="shared" si="23"/>
        <v>[D] Appliance Upgrades &amp; Lighting and Lighting ControlsSingle Family Home Detached</v>
      </c>
      <c r="C100" s="117" t="s">
        <v>254</v>
      </c>
      <c r="D100" s="118" t="s">
        <v>131</v>
      </c>
      <c r="E100" s="119">
        <v>0.11</v>
      </c>
      <c r="F100" s="119">
        <v>0.2</v>
      </c>
      <c r="G100" s="119">
        <v>0.01</v>
      </c>
      <c r="H100" s="119">
        <v>0.1</v>
      </c>
      <c r="I100" s="119">
        <f t="shared" si="32"/>
        <v>5.5E-2</v>
      </c>
      <c r="J100" s="120">
        <v>0</v>
      </c>
      <c r="K100" s="120">
        <f>VLOOKUP(D100,'Existing Building EUI'!$B$7:$E$16,4,FALSE)</f>
        <v>38</v>
      </c>
      <c r="L100" s="120">
        <f>VLOOKUP(D100,'Existing Building EUI'!$B$7:$E$16,3,FALSE)*0.8</f>
        <v>162.4</v>
      </c>
      <c r="M100" s="158">
        <v>0</v>
      </c>
      <c r="N100" s="119">
        <v>0</v>
      </c>
      <c r="O100" s="159">
        <v>0.7</v>
      </c>
      <c r="P100" s="159">
        <v>0.8</v>
      </c>
      <c r="Q100" s="119">
        <v>0</v>
      </c>
      <c r="R100" s="119">
        <v>0</v>
      </c>
      <c r="S100" s="119">
        <v>0</v>
      </c>
      <c r="T100" s="119">
        <v>0</v>
      </c>
      <c r="U100" s="121">
        <f t="shared" si="24"/>
        <v>0</v>
      </c>
      <c r="V100" s="121">
        <f t="shared" si="25"/>
        <v>0</v>
      </c>
      <c r="W100" s="121">
        <f t="shared" si="26"/>
        <v>11.400000000000002</v>
      </c>
      <c r="X100" s="121">
        <f t="shared" si="27"/>
        <v>7.5999999999999979</v>
      </c>
      <c r="Y100" s="121">
        <f t="shared" si="28"/>
        <v>162.4</v>
      </c>
      <c r="Z100" s="121">
        <f t="shared" si="29"/>
        <v>162.4</v>
      </c>
      <c r="AA100" s="159">
        <f t="shared" si="30"/>
        <v>0.13273453093812371</v>
      </c>
      <c r="AB100" s="122">
        <f t="shared" si="31"/>
        <v>0.15169660678642716</v>
      </c>
    </row>
    <row r="101" spans="1:28" s="123" customFormat="1" ht="57" hidden="1" x14ac:dyDescent="0.25">
      <c r="A101" s="161" t="s">
        <v>237</v>
      </c>
      <c r="B101" s="116" t="str">
        <f t="shared" si="23"/>
        <v>[D] Building Envelope - High Performance Glazing with Enhanced Air SealingSingle Family Home Detached</v>
      </c>
      <c r="C101" s="117" t="s">
        <v>239</v>
      </c>
      <c r="D101" s="124" t="s">
        <v>131</v>
      </c>
      <c r="E101" s="119">
        <v>0.01</v>
      </c>
      <c r="F101" s="119">
        <v>0.1</v>
      </c>
      <c r="G101" s="119">
        <v>0.01</v>
      </c>
      <c r="H101" s="119">
        <v>0.1</v>
      </c>
      <c r="I101" s="119">
        <f t="shared" si="32"/>
        <v>5.5E-2</v>
      </c>
      <c r="J101" s="120">
        <v>0</v>
      </c>
      <c r="K101" s="120">
        <f>VLOOKUP(D101,'Existing Building EUI'!$B$7:$E$16,4,FALSE)</f>
        <v>38</v>
      </c>
      <c r="L101" s="120">
        <f>VLOOKUP(D101,'Existing Building EUI'!$B$7:$E$16,3,FALSE)*0.8</f>
        <v>162.4</v>
      </c>
      <c r="M101" s="158">
        <v>0</v>
      </c>
      <c r="N101" s="158">
        <v>0</v>
      </c>
      <c r="O101" s="158">
        <v>0.01</v>
      </c>
      <c r="P101" s="159">
        <v>0.08</v>
      </c>
      <c r="Q101" s="158">
        <v>0.01</v>
      </c>
      <c r="R101" s="119">
        <v>0.11</v>
      </c>
      <c r="S101" s="119">
        <v>0</v>
      </c>
      <c r="T101" s="119">
        <v>0</v>
      </c>
      <c r="U101" s="121">
        <f t="shared" si="24"/>
        <v>0</v>
      </c>
      <c r="V101" s="121">
        <f t="shared" si="25"/>
        <v>0</v>
      </c>
      <c r="W101" s="121">
        <f t="shared" si="26"/>
        <v>37.619999999999997</v>
      </c>
      <c r="X101" s="121">
        <f t="shared" si="27"/>
        <v>34.96</v>
      </c>
      <c r="Y101" s="121">
        <f t="shared" si="28"/>
        <v>160.77600000000001</v>
      </c>
      <c r="Z101" s="121">
        <f t="shared" si="29"/>
        <v>144.536</v>
      </c>
      <c r="AA101" s="159">
        <f t="shared" si="30"/>
        <v>9.9999999999999534E-3</v>
      </c>
      <c r="AB101" s="122">
        <f t="shared" si="31"/>
        <v>0.10431137724550896</v>
      </c>
    </row>
    <row r="102" spans="1:28" s="123" customFormat="1" ht="57" hidden="1" x14ac:dyDescent="0.25">
      <c r="A102" s="161" t="s">
        <v>237</v>
      </c>
      <c r="B102" s="116" t="str">
        <f t="shared" ref="B102:B123" si="33">C102&amp;D102</f>
        <v>[D] Building Envelope - High Performance Glazing, Wall Insulation, &amp; Roof InsulationSingle Family Home Detached</v>
      </c>
      <c r="C102" s="117" t="s">
        <v>240</v>
      </c>
      <c r="D102" s="124" t="s">
        <v>131</v>
      </c>
      <c r="E102" s="119">
        <v>0.11</v>
      </c>
      <c r="F102" s="119">
        <v>0.2</v>
      </c>
      <c r="G102" s="119">
        <v>0.11</v>
      </c>
      <c r="H102" s="119">
        <v>0.2</v>
      </c>
      <c r="I102" s="119">
        <f t="shared" si="32"/>
        <v>0.155</v>
      </c>
      <c r="J102" s="120">
        <v>0</v>
      </c>
      <c r="K102" s="120">
        <f>VLOOKUP(D102,'Existing Building EUI'!$B$7:$E$16,4,FALSE)</f>
        <v>38</v>
      </c>
      <c r="L102" s="120">
        <f>VLOOKUP(D102,'Existing Building EUI'!$B$7:$E$16,3,FALSE)*0.8</f>
        <v>162.4</v>
      </c>
      <c r="M102" s="158">
        <v>0</v>
      </c>
      <c r="N102" s="158">
        <v>0</v>
      </c>
      <c r="O102" s="159">
        <v>0.08</v>
      </c>
      <c r="P102" s="159">
        <v>0.15</v>
      </c>
      <c r="Q102" s="158">
        <v>0.12</v>
      </c>
      <c r="R102" s="119">
        <v>0.2</v>
      </c>
      <c r="S102" s="119">
        <v>0</v>
      </c>
      <c r="T102" s="119">
        <v>0</v>
      </c>
      <c r="U102" s="121">
        <f t="shared" ref="U102:U123" si="34">J102-(J102*M102)</f>
        <v>0</v>
      </c>
      <c r="V102" s="121">
        <f t="shared" ref="V102:V123" si="35">J102-(J102*N102)</f>
        <v>0</v>
      </c>
      <c r="W102" s="121">
        <f t="shared" ref="W102:W107" si="36">K102-((K102*O102)+(J102*S102))</f>
        <v>34.96</v>
      </c>
      <c r="X102" s="121">
        <f t="shared" ref="X102:X123" si="37">K102-((K102*P102)+(J102*T102))</f>
        <v>32.299999999999997</v>
      </c>
      <c r="Y102" s="121">
        <f t="shared" ref="Y102:Y123" si="38">(1-Q102)*L102</f>
        <v>142.91200000000001</v>
      </c>
      <c r="Z102" s="121">
        <f t="shared" ref="Z102:Z123" si="39">(1-R102)*L102</f>
        <v>129.92000000000002</v>
      </c>
      <c r="AA102" s="159">
        <f t="shared" ref="AA102:AA123" si="40">(SUM(U102,W102,Y102)-SUM(J102:L102))/SUM(J102:L102)*-1</f>
        <v>0.1124151696606786</v>
      </c>
      <c r="AB102" s="122">
        <f t="shared" ref="AB102:AB123" si="41">(SUM(V102,X102,Z102)-SUM(J102:L102))/SUM(J102:L102)*-1</f>
        <v>0.1905189620758482</v>
      </c>
    </row>
    <row r="103" spans="1:28" s="123" customFormat="1" ht="42.75" x14ac:dyDescent="0.25">
      <c r="A103" s="161" t="s">
        <v>237</v>
      </c>
      <c r="B103" s="116" t="str">
        <f t="shared" si="33"/>
        <v>[D] Domestic Hot Water - Low Carbon District Energy SystemSingle Family Home Detached</v>
      </c>
      <c r="C103" s="117" t="s">
        <v>278</v>
      </c>
      <c r="D103" s="124" t="s">
        <v>131</v>
      </c>
      <c r="E103" s="119">
        <v>0.2</v>
      </c>
      <c r="F103" s="119">
        <v>0.3</v>
      </c>
      <c r="G103" s="119">
        <v>0.3</v>
      </c>
      <c r="H103" s="119">
        <v>0.75</v>
      </c>
      <c r="I103" s="119">
        <f t="shared" si="32"/>
        <v>0.52500000000000002</v>
      </c>
      <c r="J103" s="120">
        <v>0</v>
      </c>
      <c r="K103" s="120">
        <f>VLOOKUP(D103,'Existing Building EUI'!$B$7:$E$16,4,FALSE)</f>
        <v>38</v>
      </c>
      <c r="L103" s="120">
        <f>VLOOKUP(D103,'Existing Building EUI'!$B$7:$E$16,3,FALSE)*0.8</f>
        <v>162.4</v>
      </c>
      <c r="M103" s="158">
        <v>0</v>
      </c>
      <c r="N103" s="158">
        <v>0</v>
      </c>
      <c r="O103" s="159">
        <v>0</v>
      </c>
      <c r="P103" s="159">
        <v>0</v>
      </c>
      <c r="Q103" s="119">
        <v>0</v>
      </c>
      <c r="R103" s="119">
        <v>0</v>
      </c>
      <c r="S103" s="119">
        <v>0</v>
      </c>
      <c r="T103" s="119">
        <v>0</v>
      </c>
      <c r="U103" s="121">
        <f t="shared" si="34"/>
        <v>0</v>
      </c>
      <c r="V103" s="121">
        <f t="shared" si="35"/>
        <v>0</v>
      </c>
      <c r="W103" s="121">
        <f t="shared" si="36"/>
        <v>38</v>
      </c>
      <c r="X103" s="121">
        <f t="shared" si="37"/>
        <v>38</v>
      </c>
      <c r="Y103" s="121">
        <f t="shared" si="38"/>
        <v>162.4</v>
      </c>
      <c r="Z103" s="121">
        <f t="shared" si="39"/>
        <v>162.4</v>
      </c>
      <c r="AA103" s="159">
        <f t="shared" si="40"/>
        <v>0</v>
      </c>
      <c r="AB103" s="122">
        <f t="shared" si="41"/>
        <v>0</v>
      </c>
    </row>
    <row r="104" spans="1:28" s="123" customFormat="1" ht="42.75" x14ac:dyDescent="0.25">
      <c r="A104" s="161" t="s">
        <v>237</v>
      </c>
      <c r="B104" s="116" t="str">
        <f t="shared" si="33"/>
        <v>[D] Domestic Hot Water - Electric Water HeaterSingle Family Home Detached</v>
      </c>
      <c r="C104" s="117" t="s">
        <v>233</v>
      </c>
      <c r="D104" s="124" t="s">
        <v>131</v>
      </c>
      <c r="E104" s="119">
        <v>0.2</v>
      </c>
      <c r="F104" s="119">
        <v>0.3</v>
      </c>
      <c r="G104" s="119">
        <v>0.3</v>
      </c>
      <c r="H104" s="119">
        <v>0.75</v>
      </c>
      <c r="I104" s="119">
        <f t="shared" si="32"/>
        <v>0.52500000000000002</v>
      </c>
      <c r="J104" s="120">
        <v>0</v>
      </c>
      <c r="K104" s="120">
        <f>VLOOKUP(D104,'Existing Building EUI'!$B$7:$E$16,4,FALSE)</f>
        <v>38</v>
      </c>
      <c r="L104" s="120">
        <f>VLOOKUP(D104,'Existing Building EUI'!$B$7:$E$16,3,FALSE)*0.8</f>
        <v>162.4</v>
      </c>
      <c r="M104" s="158">
        <v>0</v>
      </c>
      <c r="N104" s="158">
        <v>0</v>
      </c>
      <c r="O104" s="159">
        <v>0</v>
      </c>
      <c r="P104" s="159">
        <v>0</v>
      </c>
      <c r="Q104" s="125">
        <v>0.2</v>
      </c>
      <c r="R104" s="119">
        <v>0.3</v>
      </c>
      <c r="S104" s="125">
        <f>Q104/-1</f>
        <v>-0.2</v>
      </c>
      <c r="T104" s="125">
        <f>R104/-1</f>
        <v>-0.3</v>
      </c>
      <c r="U104" s="121">
        <f t="shared" si="34"/>
        <v>0</v>
      </c>
      <c r="V104" s="121">
        <f t="shared" si="35"/>
        <v>0</v>
      </c>
      <c r="W104" s="121">
        <f t="shared" si="36"/>
        <v>38</v>
      </c>
      <c r="X104" s="121">
        <f t="shared" si="37"/>
        <v>38</v>
      </c>
      <c r="Y104" s="121">
        <f t="shared" si="38"/>
        <v>129.92000000000002</v>
      </c>
      <c r="Z104" s="121">
        <f t="shared" si="39"/>
        <v>113.67999999999999</v>
      </c>
      <c r="AA104" s="159">
        <f t="shared" si="40"/>
        <v>0.16207584830339317</v>
      </c>
      <c r="AB104" s="122">
        <f t="shared" si="41"/>
        <v>0.2431137724550898</v>
      </c>
    </row>
    <row r="105" spans="1:28" s="123" customFormat="1" ht="57" hidden="1" x14ac:dyDescent="0.25">
      <c r="A105" s="161" t="s">
        <v>237</v>
      </c>
      <c r="B105" s="116" t="str">
        <f t="shared" si="33"/>
        <v>[D] Gas Appliances - Electric and Induction Ranges &amp; Heat Pump Electric DryersSingle Family Home Detached</v>
      </c>
      <c r="C105" s="117" t="s">
        <v>244</v>
      </c>
      <c r="D105" s="118" t="s">
        <v>131</v>
      </c>
      <c r="E105" s="119">
        <v>0.01</v>
      </c>
      <c r="F105" s="119">
        <v>0.1</v>
      </c>
      <c r="G105" s="119">
        <v>0.05</v>
      </c>
      <c r="H105" s="119">
        <v>0.2</v>
      </c>
      <c r="I105" s="119">
        <f t="shared" si="32"/>
        <v>0.125</v>
      </c>
      <c r="J105" s="120">
        <v>0</v>
      </c>
      <c r="K105" s="120">
        <f>VLOOKUP(D105,'Existing Building EUI'!$B$7:$E$16,4,FALSE)</f>
        <v>38</v>
      </c>
      <c r="L105" s="120">
        <f>VLOOKUP(D105,'Existing Building EUI'!$B$7:$E$16,3,FALSE)*0.8</f>
        <v>162.4</v>
      </c>
      <c r="M105" s="158">
        <v>1</v>
      </c>
      <c r="N105" s="119">
        <v>1</v>
      </c>
      <c r="O105" s="159">
        <v>0</v>
      </c>
      <c r="P105" s="159">
        <v>0</v>
      </c>
      <c r="Q105" s="119">
        <v>0</v>
      </c>
      <c r="R105" s="119">
        <v>0</v>
      </c>
      <c r="S105" s="126">
        <f>(M105*0.02)/-2</f>
        <v>-0.01</v>
      </c>
      <c r="T105" s="126">
        <f>(N105*0.15)/-2</f>
        <v>-7.4999999999999997E-2</v>
      </c>
      <c r="U105" s="121">
        <f t="shared" si="34"/>
        <v>0</v>
      </c>
      <c r="V105" s="121">
        <f t="shared" si="35"/>
        <v>0</v>
      </c>
      <c r="W105" s="121">
        <f t="shared" si="36"/>
        <v>38</v>
      </c>
      <c r="X105" s="121">
        <f t="shared" si="37"/>
        <v>38</v>
      </c>
      <c r="Y105" s="121">
        <f t="shared" si="38"/>
        <v>162.4</v>
      </c>
      <c r="Z105" s="121">
        <f t="shared" si="39"/>
        <v>162.4</v>
      </c>
      <c r="AA105" s="159">
        <f t="shared" si="40"/>
        <v>0</v>
      </c>
      <c r="AB105" s="122">
        <f t="shared" si="41"/>
        <v>0</v>
      </c>
    </row>
    <row r="106" spans="1:28" s="123" customFormat="1" ht="42.75" hidden="1" x14ac:dyDescent="0.25">
      <c r="A106" s="161" t="s">
        <v>237</v>
      </c>
      <c r="B106" s="116" t="str">
        <f t="shared" si="33"/>
        <v>[D] Heating &amp; Cooling Systems - Air Source Heat PumpsSingle Family Home Detached</v>
      </c>
      <c r="C106" s="117" t="s">
        <v>225</v>
      </c>
      <c r="D106" s="124" t="s">
        <v>131</v>
      </c>
      <c r="E106" s="119">
        <v>0.2</v>
      </c>
      <c r="F106" s="119">
        <v>0.3</v>
      </c>
      <c r="G106" s="119">
        <v>0.3</v>
      </c>
      <c r="H106" s="119">
        <v>0.75</v>
      </c>
      <c r="I106" s="119">
        <f t="shared" ref="I106:I123" si="42">AVERAGE(G106:H106)</f>
        <v>0.52500000000000002</v>
      </c>
      <c r="J106" s="120">
        <v>0</v>
      </c>
      <c r="K106" s="120">
        <f>VLOOKUP(D106,'Existing Building EUI'!$B$7:$E$16,4,FALSE)</f>
        <v>38</v>
      </c>
      <c r="L106" s="120">
        <f>VLOOKUP(D106,'Existing Building EUI'!$B$7:$E$16,3,FALSE)*0.8</f>
        <v>162.4</v>
      </c>
      <c r="M106" s="158">
        <v>0</v>
      </c>
      <c r="N106" s="158">
        <v>0</v>
      </c>
      <c r="O106" s="159">
        <v>0</v>
      </c>
      <c r="P106" s="159">
        <v>0</v>
      </c>
      <c r="Q106" s="125">
        <v>0.6</v>
      </c>
      <c r="R106" s="119">
        <v>0.8</v>
      </c>
      <c r="S106" s="125">
        <f>Q106/-2</f>
        <v>-0.3</v>
      </c>
      <c r="T106" s="125">
        <f>R106/-2</f>
        <v>-0.4</v>
      </c>
      <c r="U106" s="121">
        <f t="shared" si="34"/>
        <v>0</v>
      </c>
      <c r="V106" s="121">
        <f t="shared" si="35"/>
        <v>0</v>
      </c>
      <c r="W106" s="121">
        <f t="shared" si="36"/>
        <v>38</v>
      </c>
      <c r="X106" s="121">
        <f t="shared" si="37"/>
        <v>38</v>
      </c>
      <c r="Y106" s="121">
        <f t="shared" si="38"/>
        <v>64.960000000000008</v>
      </c>
      <c r="Z106" s="121">
        <f t="shared" si="39"/>
        <v>32.479999999999997</v>
      </c>
      <c r="AA106" s="159">
        <f t="shared" si="40"/>
        <v>0.48622754491017961</v>
      </c>
      <c r="AB106" s="122">
        <f t="shared" si="41"/>
        <v>0.64830339321357289</v>
      </c>
    </row>
    <row r="107" spans="1:28" s="123" customFormat="1" ht="42.75" hidden="1" x14ac:dyDescent="0.25">
      <c r="A107" s="161" t="s">
        <v>237</v>
      </c>
      <c r="B107" s="116" t="str">
        <f t="shared" si="33"/>
        <v>[D] Heating &amp; Cooling Systems - Low Carbon District Energy SystemSingle Family Home Detached</v>
      </c>
      <c r="C107" s="117" t="s">
        <v>279</v>
      </c>
      <c r="D107" s="124" t="s">
        <v>131</v>
      </c>
      <c r="E107" s="119">
        <v>0.2</v>
      </c>
      <c r="F107" s="119">
        <v>0.3</v>
      </c>
      <c r="G107" s="119">
        <v>0.3</v>
      </c>
      <c r="H107" s="119">
        <v>0.75</v>
      </c>
      <c r="I107" s="119">
        <f t="shared" si="42"/>
        <v>0.52500000000000002</v>
      </c>
      <c r="J107" s="120">
        <v>0</v>
      </c>
      <c r="K107" s="120">
        <f>VLOOKUP(D107,'Existing Building EUI'!$B$7:$E$16,4,FALSE)</f>
        <v>38</v>
      </c>
      <c r="L107" s="120">
        <f>VLOOKUP(D107,'Existing Building EUI'!$B$7:$E$16,3,FALSE)*0.8</f>
        <v>162.4</v>
      </c>
      <c r="M107" s="158">
        <v>0</v>
      </c>
      <c r="N107" s="158">
        <v>0</v>
      </c>
      <c r="O107" s="159">
        <v>0</v>
      </c>
      <c r="P107" s="159">
        <v>0</v>
      </c>
      <c r="Q107" s="119">
        <v>0</v>
      </c>
      <c r="R107" s="119">
        <v>0</v>
      </c>
      <c r="S107" s="119">
        <v>0</v>
      </c>
      <c r="T107" s="119">
        <v>0</v>
      </c>
      <c r="U107" s="121">
        <f t="shared" si="34"/>
        <v>0</v>
      </c>
      <c r="V107" s="121">
        <f t="shared" si="35"/>
        <v>0</v>
      </c>
      <c r="W107" s="121">
        <f t="shared" si="36"/>
        <v>38</v>
      </c>
      <c r="X107" s="121">
        <f t="shared" si="37"/>
        <v>38</v>
      </c>
      <c r="Y107" s="121">
        <f t="shared" si="38"/>
        <v>162.4</v>
      </c>
      <c r="Z107" s="121">
        <f t="shared" si="39"/>
        <v>162.4</v>
      </c>
      <c r="AA107" s="159">
        <f t="shared" si="40"/>
        <v>0</v>
      </c>
      <c r="AB107" s="122">
        <f t="shared" si="41"/>
        <v>0</v>
      </c>
    </row>
    <row r="108" spans="1:28" s="123" customFormat="1" ht="42.75" hidden="1" x14ac:dyDescent="0.25">
      <c r="A108" s="161" t="s">
        <v>237</v>
      </c>
      <c r="B108" s="116" t="str">
        <f t="shared" si="33"/>
        <v>[D] Heating &amp; Cooling Systems - Ground Source Heat PumpsSingle Family Home Detached</v>
      </c>
      <c r="C108" s="117" t="s">
        <v>226</v>
      </c>
      <c r="D108" s="124" t="s">
        <v>131</v>
      </c>
      <c r="E108" s="119">
        <v>0.2</v>
      </c>
      <c r="F108" s="119">
        <v>0.3</v>
      </c>
      <c r="G108" s="119">
        <v>0.3</v>
      </c>
      <c r="H108" s="119">
        <v>0.75</v>
      </c>
      <c r="I108" s="119">
        <f t="shared" si="42"/>
        <v>0.52500000000000002</v>
      </c>
      <c r="J108" s="120">
        <v>0</v>
      </c>
      <c r="K108" s="120">
        <f>VLOOKUP(D108,'Existing Building EUI'!$B$7:$E$16,4,FALSE)</f>
        <v>38</v>
      </c>
      <c r="L108" s="120">
        <f>VLOOKUP(D108,'Existing Building EUI'!$B$7:$E$16,3,FALSE)*0.8</f>
        <v>162.4</v>
      </c>
      <c r="M108" s="158">
        <v>0</v>
      </c>
      <c r="N108" s="158">
        <v>0</v>
      </c>
      <c r="O108" s="159">
        <v>0</v>
      </c>
      <c r="P108" s="159">
        <v>0</v>
      </c>
      <c r="Q108" s="125">
        <v>0.6</v>
      </c>
      <c r="R108" s="119">
        <v>0.8</v>
      </c>
      <c r="S108" s="126">
        <f>Q108/-3</f>
        <v>-0.19999999999999998</v>
      </c>
      <c r="T108" s="126">
        <f>R108/-3</f>
        <v>-0.26666666666666666</v>
      </c>
      <c r="U108" s="121">
        <f t="shared" si="34"/>
        <v>0</v>
      </c>
      <c r="V108" s="121">
        <f t="shared" si="35"/>
        <v>0</v>
      </c>
      <c r="W108" s="121">
        <f>K108-((K108*O108)+(Q108*S108))</f>
        <v>38.119999999999997</v>
      </c>
      <c r="X108" s="121">
        <f t="shared" si="37"/>
        <v>38</v>
      </c>
      <c r="Y108" s="121">
        <f t="shared" si="38"/>
        <v>64.960000000000008</v>
      </c>
      <c r="Z108" s="121">
        <f t="shared" si="39"/>
        <v>32.479999999999997</v>
      </c>
      <c r="AA108" s="159">
        <f t="shared" si="40"/>
        <v>0.48562874251497001</v>
      </c>
      <c r="AB108" s="122">
        <f t="shared" si="41"/>
        <v>0.64830339321357289</v>
      </c>
    </row>
    <row r="109" spans="1:28" s="123" customFormat="1" ht="28.5" hidden="1" x14ac:dyDescent="0.25">
      <c r="A109" s="161" t="s">
        <v>237</v>
      </c>
      <c r="B109" s="116" t="str">
        <f t="shared" si="33"/>
        <v>[D] Renewables - Solar PVSingle Family Home Detached</v>
      </c>
      <c r="C109" s="117" t="s">
        <v>249</v>
      </c>
      <c r="D109" s="118" t="s">
        <v>131</v>
      </c>
      <c r="E109" s="119">
        <v>0.01</v>
      </c>
      <c r="F109" s="119">
        <v>0.1</v>
      </c>
      <c r="G109" s="119">
        <v>0.01</v>
      </c>
      <c r="H109" s="119">
        <v>0.05</v>
      </c>
      <c r="I109" s="119">
        <f t="shared" si="42"/>
        <v>3.0000000000000002E-2</v>
      </c>
      <c r="J109" s="120">
        <v>0</v>
      </c>
      <c r="K109" s="120">
        <f>VLOOKUP(D109,'Existing Building EUI'!$B$7:$E$16,4,FALSE)</f>
        <v>38</v>
      </c>
      <c r="L109" s="120">
        <f>VLOOKUP(D109,'Existing Building EUI'!$B$7:$E$16,3,FALSE)*0.8</f>
        <v>162.4</v>
      </c>
      <c r="M109" s="158">
        <v>0</v>
      </c>
      <c r="N109" s="119">
        <v>0</v>
      </c>
      <c r="O109" s="159">
        <v>0.04</v>
      </c>
      <c r="P109" s="159">
        <v>0.5</v>
      </c>
      <c r="Q109" s="119">
        <v>0</v>
      </c>
      <c r="R109" s="119">
        <v>0</v>
      </c>
      <c r="S109" s="119">
        <v>0</v>
      </c>
      <c r="T109" s="119">
        <v>0</v>
      </c>
      <c r="U109" s="121">
        <f t="shared" si="34"/>
        <v>0</v>
      </c>
      <c r="V109" s="121">
        <f t="shared" si="35"/>
        <v>0</v>
      </c>
      <c r="W109" s="121">
        <f t="shared" ref="W109:W123" si="43">K109-((K109*O109)+(J109*S109))</f>
        <v>36.479999999999997</v>
      </c>
      <c r="X109" s="121">
        <f t="shared" si="37"/>
        <v>19</v>
      </c>
      <c r="Y109" s="121">
        <f t="shared" si="38"/>
        <v>162.4</v>
      </c>
      <c r="Z109" s="121">
        <f t="shared" si="39"/>
        <v>162.4</v>
      </c>
      <c r="AA109" s="159">
        <f t="shared" si="40"/>
        <v>7.5848303393214085E-3</v>
      </c>
      <c r="AB109" s="122">
        <f t="shared" si="41"/>
        <v>9.4810379241516959E-2</v>
      </c>
    </row>
    <row r="110" spans="1:28" s="123" customFormat="1" ht="28.5" hidden="1" x14ac:dyDescent="0.25">
      <c r="A110" s="161" t="s">
        <v>237</v>
      </c>
      <c r="B110" s="116" t="str">
        <f t="shared" si="33"/>
        <v>[D] Renewables - Solar ThermalSingle Family Home Detached</v>
      </c>
      <c r="C110" s="117" t="s">
        <v>242</v>
      </c>
      <c r="D110" s="124" t="s">
        <v>131</v>
      </c>
      <c r="E110" s="119">
        <v>0.05</v>
      </c>
      <c r="F110" s="119">
        <v>0.15</v>
      </c>
      <c r="G110" s="119">
        <v>0.1</v>
      </c>
      <c r="H110" s="119">
        <v>0.2</v>
      </c>
      <c r="I110" s="119">
        <f t="shared" si="42"/>
        <v>0.15000000000000002</v>
      </c>
      <c r="J110" s="120">
        <v>0</v>
      </c>
      <c r="K110" s="120">
        <f>VLOOKUP(D110,'Existing Building EUI'!$B$7:$E$16,4,FALSE)</f>
        <v>38</v>
      </c>
      <c r="L110" s="120">
        <f>VLOOKUP(D110,'Existing Building EUI'!$B$7:$E$16,3,FALSE)*0.8</f>
        <v>162.4</v>
      </c>
      <c r="M110" s="158">
        <v>0</v>
      </c>
      <c r="N110" s="119">
        <v>0</v>
      </c>
      <c r="O110" s="159">
        <v>0</v>
      </c>
      <c r="P110" s="159">
        <v>0</v>
      </c>
      <c r="Q110" s="119">
        <v>0.06</v>
      </c>
      <c r="R110" s="119">
        <v>0.18</v>
      </c>
      <c r="S110" s="119">
        <v>0</v>
      </c>
      <c r="T110" s="119">
        <v>0</v>
      </c>
      <c r="U110" s="121">
        <f t="shared" si="34"/>
        <v>0</v>
      </c>
      <c r="V110" s="121">
        <f t="shared" si="35"/>
        <v>0</v>
      </c>
      <c r="W110" s="121">
        <f t="shared" si="43"/>
        <v>38</v>
      </c>
      <c r="X110" s="121">
        <f t="shared" si="37"/>
        <v>38</v>
      </c>
      <c r="Y110" s="121">
        <f t="shared" si="38"/>
        <v>152.65600000000001</v>
      </c>
      <c r="Z110" s="121">
        <f t="shared" si="39"/>
        <v>133.16800000000001</v>
      </c>
      <c r="AA110" s="159">
        <f t="shared" si="40"/>
        <v>4.862275449101796E-2</v>
      </c>
      <c r="AB110" s="122">
        <f t="shared" si="41"/>
        <v>0.14586826347305387</v>
      </c>
    </row>
    <row r="111" spans="1:28" s="123" customFormat="1" ht="57" hidden="1" customHeight="1" x14ac:dyDescent="0.25">
      <c r="A111" s="161" t="s">
        <v>237</v>
      </c>
      <c r="B111" s="116" t="str">
        <f t="shared" si="33"/>
        <v>[D] Ventilation System - Central Energy Recovery Ventilator (ERV)Single Family Home Detached</v>
      </c>
      <c r="C111" s="117" t="s">
        <v>247</v>
      </c>
      <c r="D111" s="124" t="s">
        <v>131</v>
      </c>
      <c r="E111" s="119">
        <v>0.01</v>
      </c>
      <c r="F111" s="119">
        <v>0.05</v>
      </c>
      <c r="G111" s="119">
        <v>0.01</v>
      </c>
      <c r="H111" s="119">
        <v>0.05</v>
      </c>
      <c r="I111" s="119">
        <f t="shared" si="42"/>
        <v>3.0000000000000002E-2</v>
      </c>
      <c r="J111" s="120">
        <v>0</v>
      </c>
      <c r="K111" s="120">
        <f>VLOOKUP(D111,'Existing Building EUI'!$B$7:$E$16,4,FALSE)</f>
        <v>38</v>
      </c>
      <c r="L111" s="120">
        <f>VLOOKUP(D111,'Existing Building EUI'!$B$7:$E$16,3,FALSE)*0.8</f>
        <v>162.4</v>
      </c>
      <c r="M111" s="158">
        <v>0</v>
      </c>
      <c r="N111" s="119">
        <v>0</v>
      </c>
      <c r="O111" s="159">
        <v>0.01</v>
      </c>
      <c r="P111" s="159">
        <v>0.05</v>
      </c>
      <c r="Q111" s="119">
        <v>0.01</v>
      </c>
      <c r="R111" s="119">
        <v>0.05</v>
      </c>
      <c r="S111" s="126">
        <v>0</v>
      </c>
      <c r="T111" s="126">
        <v>0</v>
      </c>
      <c r="U111" s="121">
        <f t="shared" si="34"/>
        <v>0</v>
      </c>
      <c r="V111" s="121">
        <f t="shared" si="35"/>
        <v>0</v>
      </c>
      <c r="W111" s="121">
        <f t="shared" si="43"/>
        <v>37.619999999999997</v>
      </c>
      <c r="X111" s="121">
        <f t="shared" si="37"/>
        <v>36.1</v>
      </c>
      <c r="Y111" s="121">
        <f t="shared" si="38"/>
        <v>160.77600000000001</v>
      </c>
      <c r="Z111" s="121">
        <f t="shared" si="39"/>
        <v>154.28</v>
      </c>
      <c r="AA111" s="159">
        <f t="shared" si="40"/>
        <v>9.9999999999999534E-3</v>
      </c>
      <c r="AB111" s="122">
        <f t="shared" si="41"/>
        <v>5.0000000000000051E-2</v>
      </c>
    </row>
    <row r="112" spans="1:28" s="123" customFormat="1" ht="57" hidden="1" customHeight="1" x14ac:dyDescent="0.25">
      <c r="A112" s="161" t="s">
        <v>237</v>
      </c>
      <c r="B112" s="116" t="str">
        <f t="shared" si="33"/>
        <v>[D] Ventilation System - Local Energy Recovery Ventilator (ERV)Single Family Home Detached</v>
      </c>
      <c r="C112" s="117" t="s">
        <v>248</v>
      </c>
      <c r="D112" s="124" t="s">
        <v>131</v>
      </c>
      <c r="E112" s="119">
        <v>0.01</v>
      </c>
      <c r="F112" s="119">
        <v>0.05</v>
      </c>
      <c r="G112" s="119">
        <v>0.01</v>
      </c>
      <c r="H112" s="119">
        <v>0.05</v>
      </c>
      <c r="I112" s="119">
        <f t="shared" si="42"/>
        <v>3.0000000000000002E-2</v>
      </c>
      <c r="J112" s="120">
        <v>0</v>
      </c>
      <c r="K112" s="120">
        <f>VLOOKUP(D112,'Existing Building EUI'!$B$7:$E$16,4,FALSE)</f>
        <v>38</v>
      </c>
      <c r="L112" s="120">
        <f>VLOOKUP(D112,'Existing Building EUI'!$B$7:$E$16,3,FALSE)*0.8</f>
        <v>162.4</v>
      </c>
      <c r="M112" s="158">
        <v>0</v>
      </c>
      <c r="N112" s="119">
        <v>0</v>
      </c>
      <c r="O112" s="159">
        <v>0.01</v>
      </c>
      <c r="P112" s="159">
        <v>0.05</v>
      </c>
      <c r="Q112" s="119">
        <v>0.01</v>
      </c>
      <c r="R112" s="119">
        <v>0.05</v>
      </c>
      <c r="S112" s="126">
        <v>0</v>
      </c>
      <c r="T112" s="126">
        <v>0</v>
      </c>
      <c r="U112" s="121">
        <f t="shared" si="34"/>
        <v>0</v>
      </c>
      <c r="V112" s="121">
        <f t="shared" si="35"/>
        <v>0</v>
      </c>
      <c r="W112" s="121">
        <f t="shared" si="43"/>
        <v>37.619999999999997</v>
      </c>
      <c r="X112" s="121">
        <f t="shared" si="37"/>
        <v>36.1</v>
      </c>
      <c r="Y112" s="121">
        <f t="shared" si="38"/>
        <v>160.77600000000001</v>
      </c>
      <c r="Z112" s="121">
        <f t="shared" si="39"/>
        <v>154.28</v>
      </c>
      <c r="AA112" s="159">
        <f t="shared" si="40"/>
        <v>9.9999999999999534E-3</v>
      </c>
      <c r="AB112" s="122">
        <f t="shared" si="41"/>
        <v>5.0000000000000051E-2</v>
      </c>
    </row>
    <row r="113" spans="1:28" s="123" customFormat="1" ht="57" hidden="1" customHeight="1" x14ac:dyDescent="0.25">
      <c r="A113" s="161" t="s">
        <v>237</v>
      </c>
      <c r="B113" s="116" t="str">
        <f t="shared" si="33"/>
        <v>[D] Appliance UpgradesStrip Mall</v>
      </c>
      <c r="C113" s="117" t="s">
        <v>252</v>
      </c>
      <c r="D113" s="118" t="s">
        <v>94</v>
      </c>
      <c r="E113" s="119">
        <v>0.01</v>
      </c>
      <c r="F113" s="119">
        <v>0.02</v>
      </c>
      <c r="G113" s="119">
        <v>0</v>
      </c>
      <c r="H113" s="119">
        <v>0.01</v>
      </c>
      <c r="I113" s="119">
        <f t="shared" si="42"/>
        <v>5.0000000000000001E-3</v>
      </c>
      <c r="J113" s="120">
        <v>0</v>
      </c>
      <c r="K113" s="120">
        <f>VLOOKUP(D113,'Existing Building EUI'!$B$7:$E$16,4,FALSE)</f>
        <v>248</v>
      </c>
      <c r="L113" s="120">
        <f>VLOOKUP(D113,'Existing Building EUI'!$B$7:$E$16,3,FALSE)*0.8</f>
        <v>101.60000000000001</v>
      </c>
      <c r="M113" s="158">
        <v>0</v>
      </c>
      <c r="N113" s="119">
        <v>0</v>
      </c>
      <c r="O113" s="159">
        <v>0.02</v>
      </c>
      <c r="P113" s="159">
        <v>0.03</v>
      </c>
      <c r="Q113" s="119">
        <v>0</v>
      </c>
      <c r="R113" s="119">
        <v>0</v>
      </c>
      <c r="S113" s="119">
        <v>0</v>
      </c>
      <c r="T113" s="119">
        <v>0</v>
      </c>
      <c r="U113" s="121">
        <f t="shared" si="34"/>
        <v>0</v>
      </c>
      <c r="V113" s="121">
        <f t="shared" si="35"/>
        <v>0</v>
      </c>
      <c r="W113" s="121">
        <f t="shared" si="43"/>
        <v>243.04</v>
      </c>
      <c r="X113" s="121">
        <f t="shared" si="37"/>
        <v>240.56</v>
      </c>
      <c r="Y113" s="121">
        <f t="shared" si="38"/>
        <v>101.60000000000001</v>
      </c>
      <c r="Z113" s="121">
        <f t="shared" si="39"/>
        <v>101.60000000000001</v>
      </c>
      <c r="AA113" s="159">
        <f t="shared" si="40"/>
        <v>1.4187643020595069E-2</v>
      </c>
      <c r="AB113" s="122">
        <f t="shared" si="41"/>
        <v>2.1281464530892441E-2</v>
      </c>
    </row>
    <row r="114" spans="1:28" s="123" customFormat="1" ht="57" hidden="1" customHeight="1" x14ac:dyDescent="0.25">
      <c r="A114" s="161" t="s">
        <v>237</v>
      </c>
      <c r="B114" s="116" t="str">
        <f t="shared" si="33"/>
        <v>[D] Building Envelope - High Performance Envelope (Recladding, Air Sealing, New Insulation) Strip Mall</v>
      </c>
      <c r="C114" s="117" t="s">
        <v>243</v>
      </c>
      <c r="D114" s="124" t="s">
        <v>94</v>
      </c>
      <c r="E114" s="119">
        <v>0.11</v>
      </c>
      <c r="F114" s="119">
        <v>0.2</v>
      </c>
      <c r="G114" s="119">
        <v>0.11</v>
      </c>
      <c r="H114" s="119">
        <v>0.2</v>
      </c>
      <c r="I114" s="119">
        <f t="shared" si="42"/>
        <v>0.155</v>
      </c>
      <c r="J114" s="120">
        <v>0</v>
      </c>
      <c r="K114" s="120">
        <f>VLOOKUP(D114,'Existing Building EUI'!$B$7:$E$16,4,FALSE)</f>
        <v>248</v>
      </c>
      <c r="L114" s="120">
        <f>VLOOKUP(D114,'Existing Building EUI'!$B$7:$E$16,3,FALSE)*0.8</f>
        <v>101.60000000000001</v>
      </c>
      <c r="M114" s="158">
        <v>0</v>
      </c>
      <c r="N114" s="158">
        <v>0</v>
      </c>
      <c r="O114" s="159">
        <v>0.18</v>
      </c>
      <c r="P114" s="159">
        <v>0.2</v>
      </c>
      <c r="Q114" s="158">
        <v>0.25</v>
      </c>
      <c r="R114" s="119">
        <v>0.35</v>
      </c>
      <c r="S114" s="119">
        <v>0</v>
      </c>
      <c r="T114" s="119">
        <v>0</v>
      </c>
      <c r="U114" s="121">
        <f t="shared" si="34"/>
        <v>0</v>
      </c>
      <c r="V114" s="121">
        <f t="shared" si="35"/>
        <v>0</v>
      </c>
      <c r="W114" s="121">
        <f t="shared" si="43"/>
        <v>203.36</v>
      </c>
      <c r="X114" s="121">
        <f t="shared" si="37"/>
        <v>198.4</v>
      </c>
      <c r="Y114" s="121">
        <f t="shared" si="38"/>
        <v>76.2</v>
      </c>
      <c r="Z114" s="121">
        <f t="shared" si="39"/>
        <v>66.040000000000006</v>
      </c>
      <c r="AA114" s="159">
        <f t="shared" si="40"/>
        <v>0.20034324942791767</v>
      </c>
      <c r="AB114" s="122">
        <f t="shared" si="41"/>
        <v>0.2435926773455378</v>
      </c>
    </row>
    <row r="115" spans="1:28" s="123" customFormat="1" ht="42.75" hidden="1" x14ac:dyDescent="0.25">
      <c r="A115" s="161" t="s">
        <v>237</v>
      </c>
      <c r="B115" s="116" t="str">
        <f t="shared" si="33"/>
        <v>[D] Building Envelope - High Performance Glazing with Enhanced Air SealingStrip Mall</v>
      </c>
      <c r="C115" s="117" t="s">
        <v>239</v>
      </c>
      <c r="D115" s="124" t="s">
        <v>94</v>
      </c>
      <c r="E115" s="119">
        <v>0.01</v>
      </c>
      <c r="F115" s="119">
        <v>0.1</v>
      </c>
      <c r="G115" s="119">
        <v>0.01</v>
      </c>
      <c r="H115" s="119">
        <v>0.1</v>
      </c>
      <c r="I115" s="119">
        <f t="shared" si="42"/>
        <v>5.5E-2</v>
      </c>
      <c r="J115" s="120">
        <v>0</v>
      </c>
      <c r="K115" s="120">
        <f>VLOOKUP(D115,'Existing Building EUI'!$B$7:$E$16,4,FALSE)</f>
        <v>248</v>
      </c>
      <c r="L115" s="120">
        <f>VLOOKUP(D115,'Existing Building EUI'!$B$7:$E$16,3,FALSE)*0.8</f>
        <v>101.60000000000001</v>
      </c>
      <c r="M115" s="158">
        <v>0</v>
      </c>
      <c r="N115" s="158">
        <v>0</v>
      </c>
      <c r="O115" s="158">
        <v>0.08</v>
      </c>
      <c r="P115" s="159">
        <v>0.15</v>
      </c>
      <c r="Q115" s="158">
        <v>0.17</v>
      </c>
      <c r="R115" s="119">
        <v>0.2</v>
      </c>
      <c r="S115" s="119">
        <v>0</v>
      </c>
      <c r="T115" s="119">
        <v>0</v>
      </c>
      <c r="U115" s="121">
        <f t="shared" si="34"/>
        <v>0</v>
      </c>
      <c r="V115" s="121">
        <f t="shared" si="35"/>
        <v>0</v>
      </c>
      <c r="W115" s="121">
        <f t="shared" si="43"/>
        <v>228.16</v>
      </c>
      <c r="X115" s="121">
        <f t="shared" si="37"/>
        <v>210.8</v>
      </c>
      <c r="Y115" s="121">
        <f t="shared" si="38"/>
        <v>84.328000000000003</v>
      </c>
      <c r="Z115" s="121">
        <f t="shared" si="39"/>
        <v>81.280000000000015</v>
      </c>
      <c r="AA115" s="159">
        <f t="shared" si="40"/>
        <v>0.10615560640732272</v>
      </c>
      <c r="AB115" s="122">
        <f t="shared" si="41"/>
        <v>0.16453089244851252</v>
      </c>
    </row>
    <row r="116" spans="1:28" s="123" customFormat="1" ht="42.75" x14ac:dyDescent="0.25">
      <c r="A116" s="161" t="s">
        <v>237</v>
      </c>
      <c r="B116" s="116" t="str">
        <f t="shared" si="33"/>
        <v>[D] Domestic Hot Water - Low Carbon District Energy SystemStrip Mall</v>
      </c>
      <c r="C116" s="117" t="s">
        <v>278</v>
      </c>
      <c r="D116" s="124" t="s">
        <v>94</v>
      </c>
      <c r="E116" s="119">
        <v>0.2</v>
      </c>
      <c r="F116" s="119">
        <v>0.3</v>
      </c>
      <c r="G116" s="119">
        <v>0.3</v>
      </c>
      <c r="H116" s="119">
        <v>0.75</v>
      </c>
      <c r="I116" s="119">
        <f t="shared" si="42"/>
        <v>0.52500000000000002</v>
      </c>
      <c r="J116" s="120">
        <v>0</v>
      </c>
      <c r="K116" s="120">
        <f>VLOOKUP(D116,'Existing Building EUI'!$B$7:$E$16,4,FALSE)</f>
        <v>248</v>
      </c>
      <c r="L116" s="120">
        <f>VLOOKUP(D116,'Existing Building EUI'!$B$7:$E$16,3,FALSE)*0.8</f>
        <v>101.60000000000001</v>
      </c>
      <c r="M116" s="158">
        <v>0</v>
      </c>
      <c r="N116" s="158">
        <v>0</v>
      </c>
      <c r="O116" s="159">
        <v>0</v>
      </c>
      <c r="P116" s="159">
        <v>0</v>
      </c>
      <c r="Q116" s="119">
        <v>0</v>
      </c>
      <c r="R116" s="119">
        <v>0</v>
      </c>
      <c r="S116" s="119">
        <v>0</v>
      </c>
      <c r="T116" s="119">
        <v>0</v>
      </c>
      <c r="U116" s="121">
        <f t="shared" si="34"/>
        <v>0</v>
      </c>
      <c r="V116" s="121">
        <f t="shared" si="35"/>
        <v>0</v>
      </c>
      <c r="W116" s="121">
        <f t="shared" si="43"/>
        <v>248</v>
      </c>
      <c r="X116" s="121">
        <f t="shared" si="37"/>
        <v>248</v>
      </c>
      <c r="Y116" s="121">
        <f t="shared" si="38"/>
        <v>101.60000000000001</v>
      </c>
      <c r="Z116" s="121">
        <f t="shared" si="39"/>
        <v>101.60000000000001</v>
      </c>
      <c r="AA116" s="159">
        <f t="shared" si="40"/>
        <v>0</v>
      </c>
      <c r="AB116" s="122">
        <f t="shared" si="41"/>
        <v>0</v>
      </c>
    </row>
    <row r="117" spans="1:28" s="123" customFormat="1" ht="57" customHeight="1" x14ac:dyDescent="0.25">
      <c r="A117" s="161" t="s">
        <v>237</v>
      </c>
      <c r="B117" s="116" t="str">
        <f t="shared" si="33"/>
        <v>[D] Domestic Hot Water - Electric Water HeaterStrip Mall</v>
      </c>
      <c r="C117" s="117" t="s">
        <v>233</v>
      </c>
      <c r="D117" s="124" t="s">
        <v>94</v>
      </c>
      <c r="E117" s="119">
        <v>0.2</v>
      </c>
      <c r="F117" s="119">
        <v>0.3</v>
      </c>
      <c r="G117" s="119">
        <v>0.3</v>
      </c>
      <c r="H117" s="119">
        <v>0.75</v>
      </c>
      <c r="I117" s="119">
        <f t="shared" si="42"/>
        <v>0.52500000000000002</v>
      </c>
      <c r="J117" s="120">
        <v>0</v>
      </c>
      <c r="K117" s="120">
        <f>VLOOKUP(D117,'Existing Building EUI'!$B$7:$E$16,4,FALSE)</f>
        <v>248</v>
      </c>
      <c r="L117" s="120">
        <f>VLOOKUP(D117,'Existing Building EUI'!$B$7:$E$16,3,FALSE)*0.8</f>
        <v>101.60000000000001</v>
      </c>
      <c r="M117" s="158">
        <v>0</v>
      </c>
      <c r="N117" s="158">
        <v>0</v>
      </c>
      <c r="O117" s="159">
        <v>0</v>
      </c>
      <c r="P117" s="159">
        <v>0</v>
      </c>
      <c r="Q117" s="125">
        <v>0.02</v>
      </c>
      <c r="R117" s="119">
        <v>0.15</v>
      </c>
      <c r="S117" s="125">
        <f>Q117/-1</f>
        <v>-0.02</v>
      </c>
      <c r="T117" s="125">
        <f>R117/-1</f>
        <v>-0.15</v>
      </c>
      <c r="U117" s="121">
        <f t="shared" si="34"/>
        <v>0</v>
      </c>
      <c r="V117" s="121">
        <f t="shared" si="35"/>
        <v>0</v>
      </c>
      <c r="W117" s="121">
        <f t="shared" si="43"/>
        <v>248</v>
      </c>
      <c r="X117" s="121">
        <f t="shared" si="37"/>
        <v>248</v>
      </c>
      <c r="Y117" s="121">
        <f t="shared" si="38"/>
        <v>99.568000000000012</v>
      </c>
      <c r="Z117" s="121">
        <f t="shared" si="39"/>
        <v>86.36</v>
      </c>
      <c r="AA117" s="159">
        <f t="shared" si="40"/>
        <v>5.8123569794051458E-3</v>
      </c>
      <c r="AB117" s="122">
        <f t="shared" si="41"/>
        <v>4.3592677345537782E-2</v>
      </c>
    </row>
    <row r="118" spans="1:28" s="123" customFormat="1" ht="57" hidden="1" customHeight="1" x14ac:dyDescent="0.25">
      <c r="A118" s="161" t="s">
        <v>237</v>
      </c>
      <c r="B118" s="116" t="str">
        <f t="shared" si="33"/>
        <v>[D] Heating &amp; Cooling System - Rooftop Air Source Heat Pumps with Backup Electric HeatStrip Mall</v>
      </c>
      <c r="C118" s="117" t="s">
        <v>234</v>
      </c>
      <c r="D118" s="124" t="s">
        <v>94</v>
      </c>
      <c r="E118" s="119">
        <v>0.2</v>
      </c>
      <c r="F118" s="119">
        <v>0.3</v>
      </c>
      <c r="G118" s="119">
        <v>0.3</v>
      </c>
      <c r="H118" s="119">
        <v>0.75</v>
      </c>
      <c r="I118" s="119">
        <f t="shared" si="42"/>
        <v>0.52500000000000002</v>
      </c>
      <c r="J118" s="120">
        <v>0</v>
      </c>
      <c r="K118" s="120">
        <f>VLOOKUP(D118,'Existing Building EUI'!$B$7:$E$16,4,FALSE)</f>
        <v>248</v>
      </c>
      <c r="L118" s="120">
        <f>VLOOKUP(D118,'Existing Building EUI'!$B$7:$E$16,3,FALSE)*0.8</f>
        <v>101.60000000000001</v>
      </c>
      <c r="M118" s="158">
        <v>0</v>
      </c>
      <c r="N118" s="158">
        <v>0</v>
      </c>
      <c r="O118" s="159">
        <v>0</v>
      </c>
      <c r="P118" s="159">
        <v>0</v>
      </c>
      <c r="Q118" s="125">
        <v>0.85</v>
      </c>
      <c r="R118" s="119">
        <v>0.95</v>
      </c>
      <c r="S118" s="125">
        <f>Q118/-2</f>
        <v>-0.42499999999999999</v>
      </c>
      <c r="T118" s="125">
        <f>R118/-2</f>
        <v>-0.47499999999999998</v>
      </c>
      <c r="U118" s="121">
        <f t="shared" si="34"/>
        <v>0</v>
      </c>
      <c r="V118" s="121">
        <f t="shared" si="35"/>
        <v>0</v>
      </c>
      <c r="W118" s="121">
        <f t="shared" si="43"/>
        <v>248</v>
      </c>
      <c r="X118" s="121">
        <f t="shared" si="37"/>
        <v>248</v>
      </c>
      <c r="Y118" s="121">
        <f t="shared" si="38"/>
        <v>15.240000000000004</v>
      </c>
      <c r="Z118" s="121">
        <f t="shared" si="39"/>
        <v>5.0800000000000045</v>
      </c>
      <c r="AA118" s="159">
        <f t="shared" si="40"/>
        <v>0.24702517162471399</v>
      </c>
      <c r="AB118" s="122">
        <f t="shared" si="41"/>
        <v>0.27608695652173915</v>
      </c>
    </row>
    <row r="119" spans="1:28" s="123" customFormat="1" ht="42.75" hidden="1" x14ac:dyDescent="0.25">
      <c r="A119" s="161" t="s">
        <v>237</v>
      </c>
      <c r="B119" s="116" t="str">
        <f t="shared" si="33"/>
        <v>[D] Heating &amp; Cooling Systems - Low Carbon District Energy SystemStrip Mall</v>
      </c>
      <c r="C119" s="117" t="s">
        <v>279</v>
      </c>
      <c r="D119" s="124" t="s">
        <v>94</v>
      </c>
      <c r="E119" s="119">
        <v>0.2</v>
      </c>
      <c r="F119" s="119">
        <v>0.3</v>
      </c>
      <c r="G119" s="119">
        <v>0.3</v>
      </c>
      <c r="H119" s="119">
        <v>0.75</v>
      </c>
      <c r="I119" s="119">
        <f t="shared" si="42"/>
        <v>0.52500000000000002</v>
      </c>
      <c r="J119" s="120">
        <v>0</v>
      </c>
      <c r="K119" s="120">
        <f>VLOOKUP(D119,'Existing Building EUI'!$B$7:$E$16,4,FALSE)</f>
        <v>248</v>
      </c>
      <c r="L119" s="120">
        <f>VLOOKUP(D119,'Existing Building EUI'!$B$7:$E$16,3,FALSE)*0.8</f>
        <v>101.60000000000001</v>
      </c>
      <c r="M119" s="158">
        <v>0</v>
      </c>
      <c r="N119" s="158">
        <v>0</v>
      </c>
      <c r="O119" s="159">
        <v>0</v>
      </c>
      <c r="P119" s="159">
        <v>0</v>
      </c>
      <c r="Q119" s="119">
        <v>0</v>
      </c>
      <c r="R119" s="119">
        <v>0</v>
      </c>
      <c r="S119" s="119">
        <v>0</v>
      </c>
      <c r="T119" s="119">
        <v>0</v>
      </c>
      <c r="U119" s="121">
        <f t="shared" si="34"/>
        <v>0</v>
      </c>
      <c r="V119" s="121">
        <f t="shared" si="35"/>
        <v>0</v>
      </c>
      <c r="W119" s="121">
        <f t="shared" si="43"/>
        <v>248</v>
      </c>
      <c r="X119" s="121">
        <f t="shared" si="37"/>
        <v>248</v>
      </c>
      <c r="Y119" s="121">
        <f t="shared" si="38"/>
        <v>101.60000000000001</v>
      </c>
      <c r="Z119" s="121">
        <f t="shared" si="39"/>
        <v>101.60000000000001</v>
      </c>
      <c r="AA119" s="159">
        <f t="shared" si="40"/>
        <v>0</v>
      </c>
      <c r="AB119" s="122">
        <f t="shared" si="41"/>
        <v>0</v>
      </c>
    </row>
    <row r="120" spans="1:28" s="123" customFormat="1" ht="28.5" hidden="1" x14ac:dyDescent="0.25">
      <c r="A120" s="161" t="s">
        <v>237</v>
      </c>
      <c r="B120" s="116" t="str">
        <f t="shared" si="33"/>
        <v>[D] Lighting and Lighting ControlsStrip Mall</v>
      </c>
      <c r="C120" s="117" t="s">
        <v>253</v>
      </c>
      <c r="D120" s="118" t="s">
        <v>94</v>
      </c>
      <c r="E120" s="119">
        <v>0.01</v>
      </c>
      <c r="F120" s="119">
        <v>0.1</v>
      </c>
      <c r="G120" s="119">
        <v>0.01</v>
      </c>
      <c r="H120" s="119">
        <v>0.1</v>
      </c>
      <c r="I120" s="119">
        <f t="shared" si="42"/>
        <v>5.5E-2</v>
      </c>
      <c r="J120" s="120">
        <v>0</v>
      </c>
      <c r="K120" s="120">
        <f>VLOOKUP(D120,'Existing Building EUI'!$B$7:$E$16,4,FALSE)</f>
        <v>248</v>
      </c>
      <c r="L120" s="120">
        <f>VLOOKUP(D120,'Existing Building EUI'!$B$7:$E$16,3,FALSE)*0.8</f>
        <v>101.60000000000001</v>
      </c>
      <c r="M120" s="158">
        <v>0</v>
      </c>
      <c r="N120" s="119">
        <v>0</v>
      </c>
      <c r="O120" s="159">
        <v>0.01</v>
      </c>
      <c r="P120" s="159">
        <v>0.15</v>
      </c>
      <c r="Q120" s="119">
        <v>0</v>
      </c>
      <c r="R120" s="119">
        <v>0</v>
      </c>
      <c r="S120" s="119">
        <v>0</v>
      </c>
      <c r="T120" s="119">
        <v>0</v>
      </c>
      <c r="U120" s="121">
        <f t="shared" si="34"/>
        <v>0</v>
      </c>
      <c r="V120" s="121">
        <f t="shared" si="35"/>
        <v>0</v>
      </c>
      <c r="W120" s="121">
        <f t="shared" si="43"/>
        <v>245.52</v>
      </c>
      <c r="X120" s="121">
        <f t="shared" si="37"/>
        <v>210.8</v>
      </c>
      <c r="Y120" s="121">
        <f t="shared" si="38"/>
        <v>101.60000000000001</v>
      </c>
      <c r="Z120" s="121">
        <f t="shared" si="39"/>
        <v>101.60000000000001</v>
      </c>
      <c r="AA120" s="159">
        <f t="shared" si="40"/>
        <v>7.0938215102975344E-3</v>
      </c>
      <c r="AB120" s="122">
        <f t="shared" si="41"/>
        <v>0.10640732265446221</v>
      </c>
    </row>
    <row r="121" spans="1:28" s="123" customFormat="1" ht="15" hidden="1" x14ac:dyDescent="0.25">
      <c r="A121" s="161" t="s">
        <v>237</v>
      </c>
      <c r="B121" s="116" t="str">
        <f t="shared" si="33"/>
        <v>[D] Renewables - Solar PVStrip Mall</v>
      </c>
      <c r="C121" s="117" t="s">
        <v>249</v>
      </c>
      <c r="D121" s="118" t="s">
        <v>94</v>
      </c>
      <c r="E121" s="119">
        <v>0.01</v>
      </c>
      <c r="F121" s="119">
        <v>0.1</v>
      </c>
      <c r="G121" s="119">
        <v>0.01</v>
      </c>
      <c r="H121" s="119">
        <v>0.03</v>
      </c>
      <c r="I121" s="119">
        <f t="shared" si="42"/>
        <v>0.02</v>
      </c>
      <c r="J121" s="120">
        <v>0</v>
      </c>
      <c r="K121" s="120">
        <f>VLOOKUP(D121,'Existing Building EUI'!$B$7:$E$16,4,FALSE)</f>
        <v>248</v>
      </c>
      <c r="L121" s="120">
        <f>VLOOKUP(D121,'Existing Building EUI'!$B$7:$E$16,3,FALSE)*0.8</f>
        <v>101.60000000000001</v>
      </c>
      <c r="M121" s="158">
        <v>0</v>
      </c>
      <c r="N121" s="119">
        <v>0</v>
      </c>
      <c r="O121" s="159">
        <v>0.02</v>
      </c>
      <c r="P121" s="159">
        <v>0.15</v>
      </c>
      <c r="Q121" s="119">
        <v>0</v>
      </c>
      <c r="R121" s="119">
        <v>0</v>
      </c>
      <c r="S121" s="119">
        <v>0</v>
      </c>
      <c r="T121" s="119">
        <v>0</v>
      </c>
      <c r="U121" s="121">
        <f t="shared" si="34"/>
        <v>0</v>
      </c>
      <c r="V121" s="121">
        <f t="shared" si="35"/>
        <v>0</v>
      </c>
      <c r="W121" s="121">
        <f t="shared" si="43"/>
        <v>243.04</v>
      </c>
      <c r="X121" s="121">
        <f t="shared" si="37"/>
        <v>210.8</v>
      </c>
      <c r="Y121" s="121">
        <f t="shared" si="38"/>
        <v>101.60000000000001</v>
      </c>
      <c r="Z121" s="121">
        <f t="shared" si="39"/>
        <v>101.60000000000001</v>
      </c>
      <c r="AA121" s="159">
        <f t="shared" si="40"/>
        <v>1.4187643020595069E-2</v>
      </c>
      <c r="AB121" s="122">
        <f t="shared" si="41"/>
        <v>0.10640732265446221</v>
      </c>
    </row>
    <row r="122" spans="1:28" s="123" customFormat="1" ht="15" hidden="1" x14ac:dyDescent="0.25">
      <c r="A122" s="161" t="s">
        <v>237</v>
      </c>
      <c r="B122" s="116" t="str">
        <f t="shared" si="33"/>
        <v>[D] Renewables - Solar PVStrip Mall</v>
      </c>
      <c r="C122" s="117" t="s">
        <v>249</v>
      </c>
      <c r="D122" s="118" t="s">
        <v>94</v>
      </c>
      <c r="E122" s="119">
        <v>0.01</v>
      </c>
      <c r="F122" s="119">
        <v>0.1</v>
      </c>
      <c r="G122" s="119">
        <v>0.01</v>
      </c>
      <c r="H122" s="119">
        <v>0.03</v>
      </c>
      <c r="I122" s="119">
        <f t="shared" si="42"/>
        <v>0.02</v>
      </c>
      <c r="J122" s="120">
        <v>0</v>
      </c>
      <c r="K122" s="120">
        <f>VLOOKUP(D122,'Existing Building EUI'!$B$7:$E$16,4,FALSE)</f>
        <v>248</v>
      </c>
      <c r="L122" s="120">
        <f>VLOOKUP(D122,'Existing Building EUI'!$B$7:$E$16,3,FALSE)*0.8</f>
        <v>101.60000000000001</v>
      </c>
      <c r="M122" s="158">
        <v>0</v>
      </c>
      <c r="N122" s="119">
        <v>0</v>
      </c>
      <c r="O122" s="159">
        <v>0.02</v>
      </c>
      <c r="P122" s="159">
        <v>0.15</v>
      </c>
      <c r="Q122" s="119">
        <v>0</v>
      </c>
      <c r="R122" s="119">
        <v>0</v>
      </c>
      <c r="S122" s="119">
        <v>0</v>
      </c>
      <c r="T122" s="119">
        <v>0</v>
      </c>
      <c r="U122" s="121">
        <f t="shared" si="34"/>
        <v>0</v>
      </c>
      <c r="V122" s="121">
        <f t="shared" si="35"/>
        <v>0</v>
      </c>
      <c r="W122" s="121">
        <f t="shared" si="43"/>
        <v>243.04</v>
      </c>
      <c r="X122" s="121">
        <f t="shared" si="37"/>
        <v>210.8</v>
      </c>
      <c r="Y122" s="121">
        <f t="shared" si="38"/>
        <v>101.60000000000001</v>
      </c>
      <c r="Z122" s="121">
        <f t="shared" si="39"/>
        <v>101.60000000000001</v>
      </c>
      <c r="AA122" s="159">
        <f t="shared" si="40"/>
        <v>1.4187643020595069E-2</v>
      </c>
      <c r="AB122" s="122">
        <f t="shared" si="41"/>
        <v>0.10640732265446221</v>
      </c>
    </row>
    <row r="123" spans="1:28" s="123" customFormat="1" ht="42.75" hidden="1" customHeight="1" x14ac:dyDescent="0.25">
      <c r="A123" s="161" t="s">
        <v>237</v>
      </c>
      <c r="B123" s="116" t="str">
        <f t="shared" si="33"/>
        <v>[D] Ventilation Systems - Energy Recovery Ventilator (ERV)Strip Mall</v>
      </c>
      <c r="C123" s="117" t="s">
        <v>241</v>
      </c>
      <c r="D123" s="118" t="s">
        <v>94</v>
      </c>
      <c r="E123" s="119">
        <v>0.01</v>
      </c>
      <c r="F123" s="119">
        <v>0.05</v>
      </c>
      <c r="G123" s="119">
        <v>0.01</v>
      </c>
      <c r="H123" s="119">
        <v>0.1</v>
      </c>
      <c r="I123" s="119">
        <f t="shared" si="42"/>
        <v>5.5E-2</v>
      </c>
      <c r="J123" s="120">
        <v>0</v>
      </c>
      <c r="K123" s="120">
        <f>VLOOKUP(D123,'Existing Building EUI'!$B$7:$E$16,4,FALSE)</f>
        <v>248</v>
      </c>
      <c r="L123" s="120">
        <f>VLOOKUP(D123,'Existing Building EUI'!$B$7:$E$16,3,FALSE)*0.8</f>
        <v>101.60000000000001</v>
      </c>
      <c r="M123" s="158">
        <v>0</v>
      </c>
      <c r="N123" s="119">
        <v>0</v>
      </c>
      <c r="O123" s="159">
        <v>0.01</v>
      </c>
      <c r="P123" s="159">
        <v>0.05</v>
      </c>
      <c r="Q123" s="119">
        <v>0.01</v>
      </c>
      <c r="R123" s="119">
        <v>0.05</v>
      </c>
      <c r="S123" s="126">
        <v>0</v>
      </c>
      <c r="T123" s="126">
        <v>0</v>
      </c>
      <c r="U123" s="121">
        <f t="shared" si="34"/>
        <v>0</v>
      </c>
      <c r="V123" s="121">
        <f t="shared" si="35"/>
        <v>0</v>
      </c>
      <c r="W123" s="121">
        <f t="shared" si="43"/>
        <v>245.52</v>
      </c>
      <c r="X123" s="121">
        <f t="shared" si="37"/>
        <v>235.6</v>
      </c>
      <c r="Y123" s="121">
        <f t="shared" si="38"/>
        <v>100.584</v>
      </c>
      <c r="Z123" s="121">
        <f t="shared" si="39"/>
        <v>96.52000000000001</v>
      </c>
      <c r="AA123" s="159">
        <f t="shared" si="40"/>
        <v>9.9999999999999447E-3</v>
      </c>
      <c r="AB123" s="122">
        <f t="shared" si="41"/>
        <v>5.0000000000000051E-2</v>
      </c>
    </row>
  </sheetData>
  <autoFilter ref="B5:AB123" xr:uid="{756AC6D2-12FB-47C5-BCC9-C19E09B1375B}">
    <filterColumn colId="1">
      <filters>
        <filter val="[D] Domestic Hot Water - Electric Water Heater"/>
        <filter val="[D] Domestic Hot Water - Heat pump and electric resistance water heaters"/>
        <filter val="[D] Domestic Hot Water - Low Carbon District Energy System"/>
      </filters>
    </filterColumn>
    <sortState xmlns:xlrd2="http://schemas.microsoft.com/office/spreadsheetml/2017/richdata2" ref="B6:AB123">
      <sortCondition ref="D5:D123"/>
    </sortState>
  </autoFilter>
  <conditionalFormatting sqref="E7:I123">
    <cfRule type="containsBlanks" dxfId="21" priority="18">
      <formula>LEN(TRIM(E7))=0</formula>
    </cfRule>
  </conditionalFormatting>
  <conditionalFormatting sqref="J12:K14 J35:K37">
    <cfRule type="containsBlanks" dxfId="20" priority="295">
      <formula>LEN(TRIM(J12))=0</formula>
    </cfRule>
  </conditionalFormatting>
  <conditionalFormatting sqref="J25:K26">
    <cfRule type="containsBlanks" dxfId="19" priority="293">
      <formula>LEN(TRIM(J25))=0</formula>
    </cfRule>
  </conditionalFormatting>
  <conditionalFormatting sqref="J44:K46">
    <cfRule type="containsBlanks" dxfId="18" priority="288">
      <formula>LEN(TRIM(J44))=0</formula>
    </cfRule>
  </conditionalFormatting>
  <conditionalFormatting sqref="J55:K56 J66:K68 J88:K89">
    <cfRule type="containsBlanks" dxfId="17" priority="10">
      <formula>LEN(TRIM(J55))=0</formula>
    </cfRule>
  </conditionalFormatting>
  <conditionalFormatting sqref="J77:K79">
    <cfRule type="containsBlanks" dxfId="16" priority="264">
      <formula>LEN(TRIM(J77))=0</formula>
    </cfRule>
  </conditionalFormatting>
  <conditionalFormatting sqref="J98:K100">
    <cfRule type="containsBlanks" dxfId="15" priority="110">
      <formula>LEN(TRIM(J98))=0</formula>
    </cfRule>
  </conditionalFormatting>
  <conditionalFormatting sqref="J107:K109">
    <cfRule type="containsBlanks" dxfId="14" priority="78">
      <formula>LEN(TRIM(J107))=0</formula>
    </cfRule>
  </conditionalFormatting>
  <conditionalFormatting sqref="M105:N109">
    <cfRule type="containsBlanks" dxfId="13" priority="5">
      <formula>LEN(TRIM(M105))=0</formula>
    </cfRule>
  </conditionalFormatting>
  <conditionalFormatting sqref="M111:N117">
    <cfRule type="containsBlanks" dxfId="12" priority="9">
      <formula>LEN(TRIM(M111))=0</formula>
    </cfRule>
  </conditionalFormatting>
  <conditionalFormatting sqref="M103:P104">
    <cfRule type="containsBlanks" dxfId="11" priority="105">
      <formula>LEN(TRIM(M103))=0</formula>
    </cfRule>
  </conditionalFormatting>
  <conditionalFormatting sqref="M118:R118">
    <cfRule type="containsBlanks" dxfId="10" priority="36">
      <formula>LEN(TRIM(M118))=0</formula>
    </cfRule>
  </conditionalFormatting>
  <conditionalFormatting sqref="M7:T102">
    <cfRule type="containsBlanks" dxfId="9" priority="2">
      <formula>LEN(TRIM(M7))=0</formula>
    </cfRule>
  </conditionalFormatting>
  <conditionalFormatting sqref="M110:T110">
    <cfRule type="containsBlanks" dxfId="8" priority="53">
      <formula>LEN(TRIM(M110))=0</formula>
    </cfRule>
  </conditionalFormatting>
  <conditionalFormatting sqref="M119:T123">
    <cfRule type="containsBlanks" dxfId="7" priority="8">
      <formula>LEN(TRIM(M119))=0</formula>
    </cfRule>
  </conditionalFormatting>
  <conditionalFormatting sqref="O105:P107">
    <cfRule type="containsBlanks" dxfId="6" priority="71">
      <formula>LEN(TRIM(O105))=0</formula>
    </cfRule>
  </conditionalFormatting>
  <conditionalFormatting sqref="O108:R108">
    <cfRule type="containsBlanks" dxfId="5" priority="87">
      <formula>LEN(TRIM(O108))=0</formula>
    </cfRule>
  </conditionalFormatting>
  <conditionalFormatting sqref="O117:R117">
    <cfRule type="containsBlanks" dxfId="4" priority="34">
      <formula>LEN(TRIM(O117))=0</formula>
    </cfRule>
  </conditionalFormatting>
  <conditionalFormatting sqref="O109:T109">
    <cfRule type="containsBlanks" dxfId="3" priority="79">
      <formula>LEN(TRIM(O109))=0</formula>
    </cfRule>
  </conditionalFormatting>
  <conditionalFormatting sqref="O111:T116">
    <cfRule type="containsBlanks" dxfId="2" priority="39">
      <formula>LEN(TRIM(O111))=0</formula>
    </cfRule>
  </conditionalFormatting>
  <conditionalFormatting sqref="Q103:R107">
    <cfRule type="containsBlanks" dxfId="1" priority="69">
      <formula>LEN(TRIM(Q103))=0</formula>
    </cfRule>
  </conditionalFormatting>
  <conditionalFormatting sqref="S103:T108 S117:T118">
    <cfRule type="containsBlanks" dxfId="0" priority="1">
      <formula>LEN(TRIM(S103))=0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7A0-CAA2-4E98-9AA6-B64F6E7B4F47}">
  <sheetPr>
    <tabColor theme="9" tint="0.39997558519241921"/>
  </sheetPr>
  <dimension ref="B2:H29"/>
  <sheetViews>
    <sheetView topLeftCell="E1" workbookViewId="0"/>
  </sheetViews>
  <sheetFormatPr defaultRowHeight="15" x14ac:dyDescent="0.25"/>
  <cols>
    <col min="1" max="1" width="3.42578125" customWidth="1"/>
    <col min="2" max="2" width="26.85546875" customWidth="1"/>
    <col min="6" max="6" width="72.140625" customWidth="1"/>
    <col min="8" max="8" width="38.28515625" customWidth="1"/>
  </cols>
  <sheetData>
    <row r="2" spans="2:8" x14ac:dyDescent="0.25">
      <c r="B2" s="77" t="s">
        <v>19</v>
      </c>
      <c r="C2" s="16" t="s">
        <v>132</v>
      </c>
      <c r="D2" s="77" t="s">
        <v>133</v>
      </c>
      <c r="F2" s="78" t="s">
        <v>134</v>
      </c>
      <c r="H2" s="78" t="s">
        <v>255</v>
      </c>
    </row>
    <row r="3" spans="2:8" x14ac:dyDescent="0.25">
      <c r="B3" s="19" t="str" cm="1">
        <f t="array" ref="B3:B13">_xlfn.UNIQUE('Retrofit Data'!D6:D299)</f>
        <v>Big Box Store</v>
      </c>
      <c r="C3" s="79" t="s">
        <v>135</v>
      </c>
      <c r="D3" s="2">
        <v>2025</v>
      </c>
      <c r="F3" t="str" cm="1">
        <f t="array" ref="F3">_xlfn._xlws.FILTER('Retrofit Data'!C6:C201,('Retrofit Data'!D6:D201='Tool Calc Sheet'!D5)*('Retrofit Data'!A6:A201="NG"),"")</f>
        <v/>
      </c>
      <c r="H3" t="str" cm="1">
        <f t="array" ref="H3:H8">_xlfn._xlws.FILTER('Retrofit Data'!D6:D201,(ISNUMBER(SEARCH("gas",'Retrofit Data'!C6:C201))),"")</f>
        <v>Condominium</v>
      </c>
    </row>
    <row r="4" spans="2:8" x14ac:dyDescent="0.25">
      <c r="B4" s="19" t="str">
        <v>Condominium</v>
      </c>
      <c r="C4" s="79" t="s">
        <v>136</v>
      </c>
      <c r="D4" s="2">
        <v>2026</v>
      </c>
      <c r="H4" t="str">
        <v>Educational Facility</v>
      </c>
    </row>
    <row r="5" spans="2:8" x14ac:dyDescent="0.25">
      <c r="B5" s="19" t="str">
        <v>Educational Facility</v>
      </c>
      <c r="D5" s="2">
        <v>2027</v>
      </c>
      <c r="H5" t="str">
        <v>Low Rise Rental Apartment</v>
      </c>
    </row>
    <row r="6" spans="2:8" x14ac:dyDescent="0.25">
      <c r="B6" s="19" t="str">
        <v>Low Rise Office</v>
      </c>
      <c r="D6" s="2">
        <v>2028</v>
      </c>
      <c r="H6" t="str">
        <v>Mixed Use</v>
      </c>
    </row>
    <row r="7" spans="2:8" x14ac:dyDescent="0.25">
      <c r="B7" s="19" t="str">
        <v>Low Rise Rental Apartment</v>
      </c>
      <c r="D7" s="2">
        <v>2029</v>
      </c>
      <c r="H7" t="str">
        <v>Single Family Home Attached</v>
      </c>
    </row>
    <row r="8" spans="2:8" x14ac:dyDescent="0.25">
      <c r="B8" s="19" t="str">
        <v>Mid Rise Office</v>
      </c>
      <c r="D8" s="2">
        <v>2030</v>
      </c>
      <c r="H8" t="str">
        <v>Single Family Home Detached</v>
      </c>
    </row>
    <row r="9" spans="2:8" x14ac:dyDescent="0.25">
      <c r="B9" s="19" t="str">
        <v>Mixed Use</v>
      </c>
      <c r="D9" s="2">
        <v>2031</v>
      </c>
    </row>
    <row r="10" spans="2:8" x14ac:dyDescent="0.25">
      <c r="B10" s="19" t="str">
        <v>Single Family Home Attached</v>
      </c>
      <c r="D10" s="2">
        <v>2032</v>
      </c>
    </row>
    <row r="11" spans="2:8" x14ac:dyDescent="0.25">
      <c r="B11" s="19" t="str">
        <v>Single Family Home Detached</v>
      </c>
      <c r="D11" s="2">
        <v>2033</v>
      </c>
    </row>
    <row r="12" spans="2:8" x14ac:dyDescent="0.25">
      <c r="B12" s="19" t="str">
        <v>Strip Mall</v>
      </c>
      <c r="D12" s="2">
        <v>2034</v>
      </c>
    </row>
    <row r="13" spans="2:8" x14ac:dyDescent="0.25">
      <c r="B13">
        <v>0</v>
      </c>
      <c r="D13" s="2">
        <v>2035</v>
      </c>
    </row>
    <row r="14" spans="2:8" x14ac:dyDescent="0.25">
      <c r="D14" s="2">
        <v>2036</v>
      </c>
    </row>
    <row r="15" spans="2:8" x14ac:dyDescent="0.25">
      <c r="D15" s="2">
        <v>2037</v>
      </c>
    </row>
    <row r="16" spans="2:8" x14ac:dyDescent="0.25">
      <c r="D16" s="2">
        <v>2038</v>
      </c>
    </row>
    <row r="17" spans="4:4" x14ac:dyDescent="0.25">
      <c r="D17" s="2">
        <v>2039</v>
      </c>
    </row>
    <row r="18" spans="4:4" x14ac:dyDescent="0.25">
      <c r="D18" s="2">
        <v>2040</v>
      </c>
    </row>
    <row r="19" spans="4:4" x14ac:dyDescent="0.25">
      <c r="D19" s="2">
        <v>2041</v>
      </c>
    </row>
    <row r="20" spans="4:4" x14ac:dyDescent="0.25">
      <c r="D20" s="2">
        <v>2042</v>
      </c>
    </row>
    <row r="21" spans="4:4" x14ac:dyDescent="0.25">
      <c r="D21" s="2">
        <v>2043</v>
      </c>
    </row>
    <row r="22" spans="4:4" x14ac:dyDescent="0.25">
      <c r="D22" s="2">
        <v>2044</v>
      </c>
    </row>
    <row r="23" spans="4:4" x14ac:dyDescent="0.25">
      <c r="D23" s="2">
        <v>2045</v>
      </c>
    </row>
    <row r="24" spans="4:4" x14ac:dyDescent="0.25">
      <c r="D24" s="2">
        <v>2046</v>
      </c>
    </row>
    <row r="25" spans="4:4" x14ac:dyDescent="0.25">
      <c r="D25" s="2">
        <v>2047</v>
      </c>
    </row>
    <row r="26" spans="4:4" x14ac:dyDescent="0.25">
      <c r="D26" s="2">
        <v>2048</v>
      </c>
    </row>
    <row r="27" spans="4:4" x14ac:dyDescent="0.25">
      <c r="D27" s="2">
        <v>2049</v>
      </c>
    </row>
    <row r="28" spans="4:4" x14ac:dyDescent="0.25">
      <c r="D28" s="2">
        <v>2050</v>
      </c>
    </row>
    <row r="29" spans="4:4" x14ac:dyDescent="0.25">
      <c r="D2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c1de23-0261-4110-b9bd-b57ce927ae08" xsi:nil="true"/>
    <lcf76f155ced4ddcb4097134ff3c332f xmlns="e5a56c6d-2097-42a9-9d37-cbdfd7c70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F0ABF3B47BF44AD9F499D24D101E0" ma:contentTypeVersion="11" ma:contentTypeDescription="Create a new document." ma:contentTypeScope="" ma:versionID="33eeb320dfd6f650d2ebf34a432598cb">
  <xsd:schema xmlns:xsd="http://www.w3.org/2001/XMLSchema" xmlns:xs="http://www.w3.org/2001/XMLSchema" xmlns:p="http://schemas.microsoft.com/office/2006/metadata/properties" xmlns:ns2="e5a56c6d-2097-42a9-9d37-cbdfd7c7092f" xmlns:ns3="4bc1de23-0261-4110-b9bd-b57ce927ae08" targetNamespace="http://schemas.microsoft.com/office/2006/metadata/properties" ma:root="true" ma:fieldsID="f4d3ab8b4781487f8847e4490751098b" ns2:_="" ns3:_="">
    <xsd:import namespace="e5a56c6d-2097-42a9-9d37-cbdfd7c7092f"/>
    <xsd:import namespace="4bc1de23-0261-4110-b9bd-b57ce927ae0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56c6d-2097-42a9-9d37-cbdfd7c7092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5f907feb-2135-424b-9e5e-2a3ef7dbb3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1de23-0261-4110-b9bd-b57ce927ae0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b559b83-6798-4037-86d5-a94592fef823}" ma:internalName="TaxCatchAll" ma:showField="CatchAllData" ma:web="4bc1de23-0261-4110-b9bd-b57ce927ae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C13B19-029D-481E-88AC-3FB32EBD1BDB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11185b7-4576-4f04-be5e-746ee35f5173"/>
    <ds:schemaRef ds:uri="http://www.w3.org/XML/1998/namespace"/>
    <ds:schemaRef ds:uri="4bc1de23-0261-4110-b9bd-b57ce927ae08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DCEE3E-BE21-44A7-9E50-62A815C30C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1DA47-1DD2-469F-8BC9-C8DD5921C6C0}"/>
</file>

<file path=docMetadata/LabelInfo.xml><?xml version="1.0" encoding="utf-8"?>
<clbl:labelList xmlns:clbl="http://schemas.microsoft.com/office/2020/mipLabelMetadata">
  <clbl:label id="{82fa3fd3-029b-403d-91b4-1dc930cb0e60}" enabled="1" method="Standard" siteId="{4ae48b41-0137-4599-8661-fc641fe77be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GHG Emission Calculator</vt:lpstr>
      <vt:lpstr>Backend &gt;</vt:lpstr>
      <vt:lpstr>Tool Calc Sheet</vt:lpstr>
      <vt:lpstr>Existing Building EUI</vt:lpstr>
      <vt:lpstr>Retrofit Data</vt:lpstr>
      <vt:lpstr>Retrofit Data - DES</vt:lpstr>
      <vt:lpstr>Drop Down 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Kasia Boyd</dc:creator>
  <cp:keywords/>
  <dc:description/>
  <cp:lastModifiedBy>Kasia Boyd</cp:lastModifiedBy>
  <cp:revision/>
  <dcterms:created xsi:type="dcterms:W3CDTF">2015-06-05T18:17:20Z</dcterms:created>
  <dcterms:modified xsi:type="dcterms:W3CDTF">2025-03-03T19:17:50Z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0x010100546F0ABF3B47BF44AD9F499D24D101E0</vt:lpwstr>
  </property>
  <property fmtid="{D5CDD505-2E9C-101B-9397-08002B2CF9AE}" pid="3" name="Arup_Tags">
    <vt:lpwstr/>
  </property>
  <property fmtid="{D5CDD505-2E9C-101B-9397-08002B2CF9AE}" pid="4" name="MediaServiceImageTags">
    <vt:lpwstr/>
  </property>
  <property fmtid="{D5CDD505-2E9C-101B-9397-08002B2CF9AE}" pid="5" name="CO_Topics">
    <vt:lpwstr/>
  </property>
  <property fmtid="{D5CDD505-2E9C-101B-9397-08002B2CF9AE}" pid="6" name="Arup_TypeOfContent">
    <vt:lpwstr/>
  </property>
  <property fmtid="{D5CDD505-2E9C-101B-9397-08002B2CF9AE}" pid="7" name="CO_Communities">
    <vt:lpwstr/>
  </property>
  <property fmtid="{D5CDD505-2E9C-101B-9397-08002B2CF9AE}" pid="8" name="Folder_Number">
    <vt:lpwstr/>
  </property>
  <property fmtid="{D5CDD505-2E9C-101B-9397-08002B2CF9AE}" pid="9" name="Folder_Code">
    <vt:lpwstr/>
  </property>
  <property fmtid="{D5CDD505-2E9C-101B-9397-08002B2CF9AE}" pid="10" name="Folder_Name">
    <vt:lpwstr/>
  </property>
  <property fmtid="{D5CDD505-2E9C-101B-9397-08002B2CF9AE}" pid="11" name="Folder_Description">
    <vt:lpwstr/>
  </property>
  <property fmtid="{D5CDD505-2E9C-101B-9397-08002B2CF9AE}" pid="12" name="/Folder_Name/">
    <vt:lpwstr/>
  </property>
  <property fmtid="{D5CDD505-2E9C-101B-9397-08002B2CF9AE}" pid="13" name="/Folder_Description/">
    <vt:lpwstr/>
  </property>
  <property fmtid="{D5CDD505-2E9C-101B-9397-08002B2CF9AE}" pid="14" name="Folder_Version">
    <vt:lpwstr/>
  </property>
  <property fmtid="{D5CDD505-2E9C-101B-9397-08002B2CF9AE}" pid="15" name="Folder_VersionSeq">
    <vt:lpwstr/>
  </property>
  <property fmtid="{D5CDD505-2E9C-101B-9397-08002B2CF9AE}" pid="16" name="Folder_Manager">
    <vt:lpwstr/>
  </property>
  <property fmtid="{D5CDD505-2E9C-101B-9397-08002B2CF9AE}" pid="17" name="Folder_ManagerDesc">
    <vt:lpwstr/>
  </property>
  <property fmtid="{D5CDD505-2E9C-101B-9397-08002B2CF9AE}" pid="18" name="Folder_Storage">
    <vt:lpwstr/>
  </property>
  <property fmtid="{D5CDD505-2E9C-101B-9397-08002B2CF9AE}" pid="19" name="Folder_StorageDesc">
    <vt:lpwstr/>
  </property>
  <property fmtid="{D5CDD505-2E9C-101B-9397-08002B2CF9AE}" pid="20" name="Folder_Creator">
    <vt:lpwstr/>
  </property>
  <property fmtid="{D5CDD505-2E9C-101B-9397-08002B2CF9AE}" pid="21" name="Folder_CreatorDesc">
    <vt:lpwstr/>
  </property>
  <property fmtid="{D5CDD505-2E9C-101B-9397-08002B2CF9AE}" pid="22" name="Folder_CreateDate">
    <vt:lpwstr/>
  </property>
  <property fmtid="{D5CDD505-2E9C-101B-9397-08002B2CF9AE}" pid="23" name="Folder_Updater">
    <vt:lpwstr/>
  </property>
  <property fmtid="{D5CDD505-2E9C-101B-9397-08002B2CF9AE}" pid="24" name="Folder_UpdaterDesc">
    <vt:lpwstr/>
  </property>
  <property fmtid="{D5CDD505-2E9C-101B-9397-08002B2CF9AE}" pid="25" name="Folder_UpdateDate">
    <vt:lpwstr/>
  </property>
  <property fmtid="{D5CDD505-2E9C-101B-9397-08002B2CF9AE}" pid="26" name="Document_Number">
    <vt:lpwstr/>
  </property>
  <property fmtid="{D5CDD505-2E9C-101B-9397-08002B2CF9AE}" pid="27" name="Document_Name">
    <vt:lpwstr/>
  </property>
  <property fmtid="{D5CDD505-2E9C-101B-9397-08002B2CF9AE}" pid="28" name="Document_FileName">
    <vt:lpwstr/>
  </property>
  <property fmtid="{D5CDD505-2E9C-101B-9397-08002B2CF9AE}" pid="29" name="Document_Version">
    <vt:lpwstr/>
  </property>
  <property fmtid="{D5CDD505-2E9C-101B-9397-08002B2CF9AE}" pid="30" name="Document_VersionSeq">
    <vt:lpwstr/>
  </property>
  <property fmtid="{D5CDD505-2E9C-101B-9397-08002B2CF9AE}" pid="31" name="Document_Creator">
    <vt:lpwstr/>
  </property>
  <property fmtid="{D5CDD505-2E9C-101B-9397-08002B2CF9AE}" pid="32" name="Document_CreatorDesc">
    <vt:lpwstr/>
  </property>
  <property fmtid="{D5CDD505-2E9C-101B-9397-08002B2CF9AE}" pid="33" name="Document_CreateDate">
    <vt:lpwstr/>
  </property>
  <property fmtid="{D5CDD505-2E9C-101B-9397-08002B2CF9AE}" pid="34" name="Document_Updater">
    <vt:lpwstr/>
  </property>
  <property fmtid="{D5CDD505-2E9C-101B-9397-08002B2CF9AE}" pid="35" name="Document_UpdaterDesc">
    <vt:lpwstr/>
  </property>
  <property fmtid="{D5CDD505-2E9C-101B-9397-08002B2CF9AE}" pid="36" name="Document_UpdateDate">
    <vt:lpwstr/>
  </property>
  <property fmtid="{D5CDD505-2E9C-101B-9397-08002B2CF9AE}" pid="37" name="Document_Size">
    <vt:lpwstr/>
  </property>
  <property fmtid="{D5CDD505-2E9C-101B-9397-08002B2CF9AE}" pid="38" name="Document_Storage">
    <vt:lpwstr/>
  </property>
  <property fmtid="{D5CDD505-2E9C-101B-9397-08002B2CF9AE}" pid="39" name="Document_StorageDesc">
    <vt:lpwstr/>
  </property>
  <property fmtid="{D5CDD505-2E9C-101B-9397-08002B2CF9AE}" pid="40" name="Document_Department">
    <vt:lpwstr/>
  </property>
  <property fmtid="{D5CDD505-2E9C-101B-9397-08002B2CF9AE}" pid="41" name="Document_DepartmentDesc">
    <vt:lpwstr/>
  </property>
</Properties>
</file>